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cdfao365.sharepoint.com/sites/OEFI/Shared Documents/SWEEP New/Funding Cycle/9-SWEEP 2021/Solicitation/GHG Calc/"/>
    </mc:Choice>
  </mc:AlternateContent>
  <xr:revisionPtr revIDLastSave="8" documentId="8_{AFEBD7A8-FB36-41ED-AA55-B49A53DE3F13}" xr6:coauthVersionLast="45" xr6:coauthVersionMax="45" xr10:uidLastSave="{9B1C6CBC-7244-4BEB-903C-BF0AA6E5790C}"/>
  <workbookProtection workbookAlgorithmName="SHA-512" workbookHashValue="RwkX+iGp2IvUf81PQLJXQssPyMzHSbIS9ckzfJtwFr2Dh8p7inQj0iCpp+sjVblpwkH/nwEbpOn/L9IU+gv+9w==" workbookSaltValue="b0mX07xjuZ+kIeNy2JHAFw==" workbookSpinCount="100000" lockStructure="1"/>
  <bookViews>
    <workbookView xWindow="-110" yWindow="-110" windowWidth="38620" windowHeight="21220" tabRatio="801" xr2:uid="{00000000-000D-0000-FFFF-FFFF00000000}"/>
  </bookViews>
  <sheets>
    <sheet name="Read Me" sheetId="1" r:id="rId1"/>
    <sheet name="Inputs - 1" sheetId="2" r:id="rId2"/>
    <sheet name="Inputs - 2" sheetId="7" r:id="rId3"/>
    <sheet name="Inputs - 3" sheetId="8" r:id="rId4"/>
    <sheet name="Inputs - 4" sheetId="9" r:id="rId5"/>
    <sheet name="Inputs - 5" sheetId="10" r:id="rId6"/>
    <sheet name="Pressure Conversion" sheetId="17" r:id="rId7"/>
    <sheet name="Summary" sheetId="3" r:id="rId8"/>
    <sheet name="GHG Calculations - 1" sheetId="4" r:id="rId9"/>
    <sheet name="GHG Calculations - 2" sheetId="11" r:id="rId10"/>
    <sheet name="GHG Calculations - 3" sheetId="12" r:id="rId11"/>
    <sheet name="GHG Calculations - 4" sheetId="13" r:id="rId12"/>
    <sheet name="GHG Calculations - 5" sheetId="14" r:id="rId13"/>
    <sheet name="Defaults" sheetId="5" r:id="rId14"/>
    <sheet name="Definitions" sheetId="6" r:id="rId15"/>
  </sheets>
  <definedNames>
    <definedName name="_xlnm.Print_Area" localSheetId="13">Defaults!$A$1:$G$78</definedName>
    <definedName name="_xlnm.Print_Area" localSheetId="14">Definitions!$A$1:$D$35</definedName>
    <definedName name="_xlnm.Print_Area" localSheetId="8">'GHG Calculations - 1'!$A$1:$C$27</definedName>
    <definedName name="_xlnm.Print_Area" localSheetId="9">'GHG Calculations - 2'!$A$1:$C$27</definedName>
    <definedName name="_xlnm.Print_Area" localSheetId="10">'GHG Calculations - 3'!$A$1:$C$27</definedName>
    <definedName name="_xlnm.Print_Area" localSheetId="11">'GHG Calculations - 4'!$A$1:$C$27</definedName>
    <definedName name="_xlnm.Print_Area" localSheetId="12">'GHG Calculations - 5'!$A$1:$C$27</definedName>
    <definedName name="_xlnm.Print_Area" localSheetId="1">'Inputs - 1'!$A$1:$C$36</definedName>
    <definedName name="_xlnm.Print_Area" localSheetId="2">'Inputs - 2'!$A$1:$C$36</definedName>
    <definedName name="_xlnm.Print_Area" localSheetId="3">'Inputs - 3'!$A$1:$C$36</definedName>
    <definedName name="_xlnm.Print_Area" localSheetId="4">'Inputs - 4'!$A$1:$C$36</definedName>
    <definedName name="_xlnm.Print_Area" localSheetId="5">'Inputs - 5'!$A$1:$C$36</definedName>
    <definedName name="_xlnm.Print_Area" localSheetId="0">'Read Me'!$A$1:$H$41</definedName>
    <definedName name="_xlnm.Print_Area" localSheetId="7">Summary!$A$1:$E$18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4" l="1"/>
  <c r="B17" i="3"/>
  <c r="C36" i="10"/>
  <c r="B16" i="10"/>
  <c r="C36" i="9"/>
  <c r="B16" i="9"/>
  <c r="C17" i="11"/>
  <c r="C17" i="12"/>
  <c r="C17" i="13"/>
  <c r="C17" i="14"/>
  <c r="C17" i="4"/>
  <c r="C22" i="14"/>
  <c r="C22" i="13"/>
  <c r="C22" i="12"/>
  <c r="C22" i="11"/>
  <c r="B14" i="17"/>
  <c r="C34" i="2"/>
  <c r="B16" i="2"/>
  <c r="C15" i="4" s="1"/>
  <c r="C18" i="4" s="1"/>
  <c r="C14" i="14"/>
  <c r="C13" i="14"/>
  <c r="C14" i="13"/>
  <c r="C13" i="13"/>
  <c r="C14" i="12"/>
  <c r="C13" i="12"/>
  <c r="C14" i="11"/>
  <c r="C13" i="11"/>
  <c r="C14" i="4"/>
  <c r="C13" i="4"/>
  <c r="C34" i="7"/>
  <c r="B16" i="7"/>
  <c r="C34" i="8"/>
  <c r="B16" i="8"/>
  <c r="C34" i="9"/>
  <c r="C34" i="10"/>
  <c r="C24" i="14"/>
  <c r="C23" i="14"/>
  <c r="C20" i="14"/>
  <c r="C16" i="14"/>
  <c r="C15" i="14"/>
  <c r="C18" i="14"/>
  <c r="C19" i="14"/>
  <c r="C24" i="13"/>
  <c r="C23" i="13"/>
  <c r="C20" i="13"/>
  <c r="C16" i="13"/>
  <c r="C15" i="13"/>
  <c r="C18" i="13"/>
  <c r="C19" i="13"/>
  <c r="C24" i="12"/>
  <c r="C23" i="12"/>
  <c r="C20" i="12"/>
  <c r="C16" i="12"/>
  <c r="C15" i="12"/>
  <c r="C18" i="12"/>
  <c r="C19" i="12"/>
  <c r="C24" i="11"/>
  <c r="C23" i="11"/>
  <c r="C20" i="11"/>
  <c r="C16" i="11"/>
  <c r="C15" i="11"/>
  <c r="C21" i="13"/>
  <c r="C25" i="13"/>
  <c r="C27" i="13"/>
  <c r="C21" i="14"/>
  <c r="C25" i="14"/>
  <c r="C27" i="14"/>
  <c r="C21" i="12"/>
  <c r="C25" i="12"/>
  <c r="C27" i="12"/>
  <c r="C18" i="11"/>
  <c r="C36" i="8"/>
  <c r="C36" i="7"/>
  <c r="C19" i="11"/>
  <c r="C21" i="11"/>
  <c r="C25" i="11"/>
  <c r="C27" i="11"/>
  <c r="B53" i="5"/>
  <c r="B51" i="5"/>
  <c r="B52" i="5"/>
  <c r="B50" i="5"/>
  <c r="B47" i="5"/>
  <c r="B46" i="5"/>
  <c r="B48" i="5"/>
  <c r="B45" i="5"/>
  <c r="B42" i="5"/>
  <c r="B43" i="5"/>
  <c r="B41" i="5"/>
  <c r="B40" i="5"/>
  <c r="B36" i="5"/>
  <c r="C36" i="2"/>
  <c r="B37" i="5"/>
  <c r="B38" i="5"/>
  <c r="B35" i="5"/>
  <c r="B10" i="3"/>
  <c r="B9" i="3"/>
  <c r="C24" i="4"/>
  <c r="C16" i="4"/>
  <c r="C23" i="4" l="1"/>
  <c r="C19" i="4"/>
  <c r="C20" i="4" s="1"/>
  <c r="C21" i="4" s="1"/>
  <c r="C25" i="4" l="1"/>
  <c r="C27" i="4" s="1"/>
  <c r="B14" i="3" s="1"/>
  <c r="B15" i="3" s="1"/>
  <c r="B18" i="3" s="1"/>
  <c r="B1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1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1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1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100-000004000000}">
      <text>
        <r>
          <rPr>
            <b/>
            <sz val="9"/>
            <color indexed="81"/>
            <rFont val="Tahoma"/>
            <family val="2"/>
          </rPr>
          <t>Click cell to access link to SWEEP Water Savings Tool</t>
        </r>
      </text>
    </comment>
    <comment ref="A32" authorId="1" shapeId="0" xr:uid="{00000000-0006-0000-01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2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2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2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200-000004000000}">
      <text>
        <r>
          <rPr>
            <b/>
            <sz val="9"/>
            <color indexed="81"/>
            <rFont val="Tahoma"/>
            <family val="2"/>
          </rPr>
          <t>Click cell to access link to SWEEP Water Savings Tool</t>
        </r>
      </text>
    </comment>
    <comment ref="A32" authorId="1" shapeId="0" xr:uid="{00000000-0006-0000-02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3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3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3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300-000004000000}">
      <text>
        <r>
          <rPr>
            <b/>
            <sz val="9"/>
            <color indexed="81"/>
            <rFont val="Tahoma"/>
            <family val="2"/>
          </rPr>
          <t>Click cell to access link to SWEEP Water Savings Tool</t>
        </r>
      </text>
    </comment>
    <comment ref="A32" authorId="1" shapeId="0" xr:uid="{00000000-0006-0000-03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4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4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4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400-000004000000}">
      <text>
        <r>
          <rPr>
            <b/>
            <sz val="9"/>
            <color indexed="81"/>
            <rFont val="Tahoma"/>
            <family val="2"/>
          </rPr>
          <t>Click cell to access link to SWEEP Water Savings Tool</t>
        </r>
      </text>
    </comment>
    <comment ref="A32" authorId="1" shapeId="0" xr:uid="{00000000-0006-0000-04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5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5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5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500-000004000000}">
      <text>
        <r>
          <rPr>
            <b/>
            <sz val="9"/>
            <color indexed="81"/>
            <rFont val="Tahoma"/>
            <family val="2"/>
          </rPr>
          <t>Click cell to access link to SWEEP Water Savings Tool</t>
        </r>
      </text>
    </comment>
    <comment ref="A32" authorId="1" shapeId="0" xr:uid="{00000000-0006-0000-05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text>
    </comment>
  </commentList>
</comments>
</file>

<file path=xl/sharedStrings.xml><?xml version="1.0" encoding="utf-8"?>
<sst xmlns="http://schemas.openxmlformats.org/spreadsheetml/2006/main" count="580" uniqueCount="201">
  <si>
    <t xml:space="preserve">The California Air Resources Board (ARB) is responsible for providing the quantification methodology to estimate greenhouse gas (GHG) emission reductions from projects receiving monies from the Greenhouse Gas Reduction Fund (GGRF).  </t>
  </si>
  <si>
    <t>Project Name:</t>
  </si>
  <si>
    <t>Contact Name:</t>
  </si>
  <si>
    <t>Contact Phone Number:</t>
  </si>
  <si>
    <t>Contact Email:</t>
  </si>
  <si>
    <t>Date Completed:</t>
  </si>
  <si>
    <t>Submit documentation:  Save file for submittal.  See Section C. Documentation of the quantification methodology for additional documentation requirements.</t>
  </si>
  <si>
    <t xml:space="preserve">For more information on ARB’s efforts to support implementation of GGRF investments, see: </t>
  </si>
  <si>
    <t>www.arb.ca.gov/auctionproceeds</t>
  </si>
  <si>
    <t xml:space="preserve">Questions on the SWEEP program should be forwarded to </t>
  </si>
  <si>
    <t>General Project Information</t>
  </si>
  <si>
    <t>Input Data</t>
  </si>
  <si>
    <t>Fuel type</t>
  </si>
  <si>
    <t>Diesel</t>
  </si>
  <si>
    <t>Fuel Emissions Factor</t>
  </si>
  <si>
    <t>Project Life (yrs)</t>
  </si>
  <si>
    <t>Pump and Motor Enhancement and Replacement</t>
  </si>
  <si>
    <t>Post-Project</t>
  </si>
  <si>
    <t>Motor Rated Horsepower (hP)</t>
  </si>
  <si>
    <t>System Pressure (ft)</t>
  </si>
  <si>
    <t>Pumping depth (ft)</t>
  </si>
  <si>
    <t>Discharge pressure (ft)</t>
  </si>
  <si>
    <t>Friction losses (ft)</t>
  </si>
  <si>
    <t>Are you installing a VFD?</t>
  </si>
  <si>
    <t>N/A</t>
  </si>
  <si>
    <t>VFD Well Pump</t>
  </si>
  <si>
    <t>VFD Efficiency (%)</t>
  </si>
  <si>
    <t>Irrigation System Enhancement (for systems utilizing pumps)</t>
  </si>
  <si>
    <t>Water savings (from NRCS) (%)</t>
  </si>
  <si>
    <t>Water savings from leakage repair (%)</t>
  </si>
  <si>
    <t>Fuel conversions and renewable energy</t>
  </si>
  <si>
    <t>Renewable energy capacity (kW)</t>
  </si>
  <si>
    <t>New fuel type</t>
  </si>
  <si>
    <t>Electricity</t>
  </si>
  <si>
    <t>Fuel conversion</t>
  </si>
  <si>
    <t>Diesel to Electricity</t>
  </si>
  <si>
    <t>Conversion Factor</t>
  </si>
  <si>
    <t>Results</t>
  </si>
  <si>
    <t>GHG Emissions (MTCO2e)</t>
  </si>
  <si>
    <t>Description</t>
  </si>
  <si>
    <t>Annual GHG Emission Reductions (MTCO2e/yr)</t>
  </si>
  <si>
    <t>Total GHG Emission Reductions (MTCO2e)</t>
  </si>
  <si>
    <t>Calculation</t>
  </si>
  <si>
    <t>Parameter</t>
  </si>
  <si>
    <t>Result</t>
  </si>
  <si>
    <t>Equation 1.a</t>
  </si>
  <si>
    <t>Equation 1.b</t>
  </si>
  <si>
    <t>Equation 2.a</t>
  </si>
  <si>
    <t>Equation 2.b</t>
  </si>
  <si>
    <t>Equation 3.a</t>
  </si>
  <si>
    <t>Equation 3.b</t>
  </si>
  <si>
    <t>Equation 3 -- result</t>
  </si>
  <si>
    <t>GHG pump without fuel change</t>
  </si>
  <si>
    <t>GHG pump - result</t>
  </si>
  <si>
    <t>Energy savings VFD</t>
  </si>
  <si>
    <t>GHG VFD</t>
  </si>
  <si>
    <t>Equation 6</t>
  </si>
  <si>
    <t>GHG renewable energy</t>
  </si>
  <si>
    <t>Total Project GHG Emission Reductions (MTCO2e)</t>
  </si>
  <si>
    <t>Fuel</t>
  </si>
  <si>
    <t>Unit</t>
  </si>
  <si>
    <t>MTCO2e/gal</t>
  </si>
  <si>
    <t>DEER Measure</t>
  </si>
  <si>
    <t>Energy Savings (kWh/hP)</t>
  </si>
  <si>
    <t>Natural Gas</t>
  </si>
  <si>
    <t xml:space="preserve">MTCO2e/scf </t>
  </si>
  <si>
    <t>VFD Booster Pump</t>
  </si>
  <si>
    <t>MTCO2e/kWh</t>
  </si>
  <si>
    <t>Already have a VFD</t>
  </si>
  <si>
    <t>Motor Gasoline</t>
  </si>
  <si>
    <t>Not installing VFD</t>
  </si>
  <si>
    <t>Solar Power</t>
  </si>
  <si>
    <t>Wind Power</t>
  </si>
  <si>
    <t>Renewable Other</t>
  </si>
  <si>
    <t>EER-Adjusted CI</t>
  </si>
  <si>
    <t>g/MJ</t>
  </si>
  <si>
    <t>Conversion</t>
  </si>
  <si>
    <t>Value</t>
  </si>
  <si>
    <t>No change</t>
  </si>
  <si>
    <t>Diesel to Natural Gas</t>
  </si>
  <si>
    <t>Diesel to Gasoline</t>
  </si>
  <si>
    <t>Natural Gas to Diesel</t>
  </si>
  <si>
    <t>Natural Gas to Electricity</t>
  </si>
  <si>
    <t>Natural Gas to Gasoline</t>
  </si>
  <si>
    <t>Gasoline to Natural Gas</t>
  </si>
  <si>
    <t>Gasoline to Electricity</t>
  </si>
  <si>
    <t>Gasoline to Diesel</t>
  </si>
  <si>
    <t>Project Info</t>
  </si>
  <si>
    <t>This GHG emission factor is associated with the fuel type.</t>
  </si>
  <si>
    <t>The manufacturer's rated horsepower for irrigation pump.</t>
  </si>
  <si>
    <t>Operational Hours Per Season (hr)</t>
  </si>
  <si>
    <t>Pump operating hours in a growing season; this parameter is only needed for pre-project scenario for determining baseline energy demand if energy use data is unavailable.</t>
  </si>
  <si>
    <t>The system pressure, or total head, is a summation of suction pressure, discharge pressure, and losses. If this value is known, the applicant can override the calculation and enter system pressure. If overriding, the specific head data below can be omitted. Please represent value in feet rather than psi.</t>
  </si>
  <si>
    <t>This is the suction pressure on the pump; for wells, this is the depth of groundwater (use fall depth if available).</t>
  </si>
  <si>
    <t>This is the discharge pressure from the pump. This may be metered at the pump.</t>
  </si>
  <si>
    <t>If the project includes installation of a VFD, specify type.</t>
  </si>
  <si>
    <t>The efficiency of the VFD.</t>
  </si>
  <si>
    <t>Water savings, as estimated in USDA NRCS Irrigation Water Savings Calculator, Cell A30, as a percentage of water use.</t>
  </si>
  <si>
    <t>If the project includes system repairs preventing leakage not capture in the USDA NRCS Irrigation Water Savings Calculator, enter the expected % savings and provide supporting documentation.</t>
  </si>
  <si>
    <t>If installing on-site renewable energy, enter the capacity in kW.</t>
  </si>
  <si>
    <t>New fuel type if converting from existing fuel type.</t>
  </si>
  <si>
    <t>This factor is associated with the conversion in fuel types.</t>
  </si>
  <si>
    <t xml:space="preserve">Friction losses (ft) </t>
  </si>
  <si>
    <t>Diesel to Biodiesel/Renewable Diesel</t>
  </si>
  <si>
    <t>Natural Gas to Biodiesel/Renewable Diesel</t>
  </si>
  <si>
    <t>Biodiesel/Renewable Diesel to Natural Gas</t>
  </si>
  <si>
    <t>Biodiesel/Renewable Diesel to Electricity</t>
  </si>
  <si>
    <t>Biodiesel/Renewable Diesel to Diesel</t>
  </si>
  <si>
    <t>Biodiesel/Renewable Diesel to Gasoline</t>
  </si>
  <si>
    <t>Gasoline to Biodiesel/Renewable Diesel</t>
  </si>
  <si>
    <t>Biodiesel/Renewable Diesel</t>
  </si>
  <si>
    <t>Biodiesel/Renewable Diesel (weighted average)</t>
  </si>
  <si>
    <t>Pre-Project</t>
  </si>
  <si>
    <t>Fuel Conversions and Renewable Energy</t>
  </si>
  <si>
    <r>
      <t>CO</t>
    </r>
    <r>
      <rPr>
        <b/>
        <sz val="10"/>
        <rFont val="Lucida Sans"/>
        <family val="2"/>
      </rPr>
      <t>2e</t>
    </r>
    <r>
      <rPr>
        <b/>
        <sz val="12"/>
        <rFont val="Lucida Sans"/>
        <family val="2"/>
      </rPr>
      <t xml:space="preserve"> Emission Factor</t>
    </r>
  </si>
  <si>
    <t>Default value of 10 years for equipment life, can be overridden if support is provided for replacement value.</t>
  </si>
  <si>
    <t xml:space="preserve">Total SWEEP funds requested </t>
  </si>
  <si>
    <t>Total Reductions per SWEEP funds requested</t>
  </si>
  <si>
    <t>TDH pre-project</t>
  </si>
  <si>
    <t>TDH post-project</t>
  </si>
  <si>
    <t>GHG pre-project for non-electric pumps</t>
  </si>
  <si>
    <t>GHG pre-project for electric pumps with usage data</t>
  </si>
  <si>
    <t>GHG pre-project for electric pumps with no usage data</t>
  </si>
  <si>
    <t>GHG pre-project - result</t>
  </si>
  <si>
    <t xml:space="preserve">Net GHG Benefits over Useful Life </t>
  </si>
  <si>
    <t>GHG reductions post-project</t>
  </si>
  <si>
    <t>GHG Benefits per Growing Season</t>
  </si>
  <si>
    <t>If converting fuels, enter the change from the drop-down menu. If there is no fuel conversion, select "No Change" from menu.</t>
  </si>
  <si>
    <t>The default value is 10 feet for well pump and 5 feet for booster pump. System specific losses can be entered if known.</t>
  </si>
  <si>
    <t xml:space="preserve">This worksheet is used only if project has additional pump being upgraded or has multiple plots being upgraded. </t>
  </si>
  <si>
    <r>
      <rPr>
        <b/>
        <sz val="12"/>
        <rFont val="Arial"/>
        <family val="2"/>
      </rPr>
      <t>Read Me Tab (this page):</t>
    </r>
    <r>
      <rPr>
        <sz val="12"/>
        <rFont val="Arial"/>
        <family val="2"/>
      </rPr>
      <t xml:space="preserve">
Enter the Project Name, Project ID as a project identifier, and the  contact information for person who can answer project specific questions from staff reviewers on the quantification calculations.</t>
    </r>
  </si>
  <si>
    <t>Pump and Motor Enhancement and Replacement - This Section required for all applicants</t>
  </si>
  <si>
    <t>Pump fuel or electricity use (gallons, scf, kWh)</t>
  </si>
  <si>
    <t>GHG pump fuel conversion adjustment</t>
  </si>
  <si>
    <t>User may override system pressure if known.</t>
  </si>
  <si>
    <r>
      <t xml:space="preserve">Applicants must use this calculator to estimate the GHG reductions associated with the SWEEP projects. </t>
    </r>
    <r>
      <rPr>
        <b/>
        <sz val="12"/>
        <rFont val="Arial"/>
        <family val="2"/>
      </rPr>
      <t xml:space="preserve">Refer to the quantification methodology document for background information, step by step detailed instructions, and examples.  </t>
    </r>
    <r>
      <rPr>
        <sz val="12"/>
        <rFont val="Arial"/>
        <family val="2"/>
      </rPr>
      <t>To use this calculator, follow these steps:</t>
    </r>
  </si>
  <si>
    <t>For projects that include more than one pump, complete and additional input tab for each pump.  The GHG calculations tab will correspond to each pump and report a final cumulative GHG emission reduction value in the Summary tab.</t>
  </si>
  <si>
    <t>This worksheet is used only if you need to convert pressure from pounds per square inch to feet.</t>
  </si>
  <si>
    <t>Pressure (psi)</t>
  </si>
  <si>
    <t>Pressure (ft)</t>
  </si>
  <si>
    <t>Pressure Conversion</t>
  </si>
  <si>
    <t>Total Irrigated Project Area (acres)</t>
  </si>
  <si>
    <t>Total GGRF funds requested ($)</t>
  </si>
  <si>
    <t>Total requested grant amount from SWEEP.</t>
  </si>
  <si>
    <t>The irrigated area associated with the entire project.</t>
  </si>
  <si>
    <t>Amount of fuel or electricity used to run the existing system in a growing season, specific to each pump.</t>
  </si>
  <si>
    <t>Current fuel type used for existing system, specific to each type.</t>
  </si>
  <si>
    <t>Overall Pumping Efficiency (%)</t>
  </si>
  <si>
    <t>The overall efficiency of the pumping plant. This incorporates pump efficiency and motor efficiency, among other factors.</t>
  </si>
  <si>
    <t>Field or Ranch Name</t>
  </si>
  <si>
    <t>Equation 2.c</t>
  </si>
  <si>
    <t>Equation 2 -- result</t>
  </si>
  <si>
    <t>Equation 5</t>
  </si>
  <si>
    <t>Operational Hours (hr) (if Known) -                       If unknown, leave cell blank</t>
  </si>
  <si>
    <t>Operational Hours (hr) (if Known) -                        If unknown, leave cell blank</t>
  </si>
  <si>
    <t>Equation 4.a/4.b</t>
  </si>
  <si>
    <t>References</t>
  </si>
  <si>
    <t xml:space="preserve">Fuel Emission Factors  </t>
  </si>
  <si>
    <t>- LCFS provides carbon intensity (CI) values for each fuel type, which are expressed in grams of carbon dioxide equivalent per megajoule (gCO2e/MJ).</t>
  </si>
  <si>
    <t>- CI values are converted to appropriate units as shown in the table above using the applicable fuel energy densities and standard conversion rates.</t>
  </si>
  <si>
    <t>Energy Densities</t>
  </si>
  <si>
    <t>- https://www.arb.ca.gov/regact/2015/lcfs2015/lcfsfinalregorder.pdf</t>
  </si>
  <si>
    <t>Table 3, pg. 42</t>
  </si>
  <si>
    <t>Table 6, pg. 66</t>
  </si>
  <si>
    <t>Natural Gas*</t>
  </si>
  <si>
    <t>Table 7, pg. 83</t>
  </si>
  <si>
    <t>Biodiesel/Renewable Diesel**</t>
  </si>
  <si>
    <t>Motor Gasoline***</t>
  </si>
  <si>
    <t>pg. 32</t>
  </si>
  <si>
    <t>* The natural gas CI value used is a petroleum based compressed natural gas (CNG) delivered via pipeline and compressed at the station.</t>
  </si>
  <si>
    <t xml:space="preserve">  The emissions associated with compression are subtracted from the total CNG CI value.  The compression CI value used is found here:  </t>
  </si>
  <si>
    <t>- https://www.arb.ca.gov/fuels/lcfs/022709lcfs_cng.pdf</t>
  </si>
  <si>
    <t>Table 4.02, pg. 36</t>
  </si>
  <si>
    <t>** The biodiesel/renewable diesel CI value used is an average of the biodiesel and renewable diesel CI values of feedstock derived from both animal fats and plant oils.</t>
  </si>
  <si>
    <t xml:space="preserve">*** The motor gasoline CI value used is the CI requirements of California reformulated gasoline (CaRFG) for years 2016-2020. </t>
  </si>
  <si>
    <t>- Fuel conversions to renewable energy do not have a conversion value and are reflected in the renewable energy capacity installed.</t>
  </si>
  <si>
    <t>- Fuel conversions utilize the Energy Economy Ratio (EER) adjusted CI values to reflect the relative efficiency of a specific fuel used in a motor.</t>
  </si>
  <si>
    <t>- http://www.deeresources.com/</t>
  </si>
  <si>
    <t>- Values are obtained from the Database for Energy Efficient Resources (DEER), developed by the California Public Utilities Commission and available online at:</t>
  </si>
  <si>
    <t>Variable Frequency Drive Pump Energy Impacts</t>
  </si>
  <si>
    <t>- Fuel emission factors and energy intensities are from ARB's Low Carbon Fuel Standard (LCFS) Program (final regulation effective January 1, 2016).</t>
  </si>
  <si>
    <t>Total Irrigated Project Area (acres):</t>
  </si>
  <si>
    <t>Water Savings (SWEEP Water Savings Tool) (%)</t>
  </si>
  <si>
    <t>Equation 4.a</t>
  </si>
  <si>
    <t>California Air Resources Board</t>
  </si>
  <si>
    <t>California Department of Food and Agriculture</t>
  </si>
  <si>
    <t>State Water Energy Efficiency Program</t>
  </si>
  <si>
    <t>GHG Benefits per Acre-Year</t>
  </si>
  <si>
    <t>Total GHG Emission Reductions (MTCO2e) per Acre per Year</t>
  </si>
  <si>
    <t xml:space="preserve">This GHG emission reduction calculator accompanies the quantification methodology for the State Water Energy Efficiency Program (SWEEP) available at: </t>
  </si>
  <si>
    <r>
      <rPr>
        <b/>
        <sz val="12"/>
        <rFont val="Arial"/>
        <family val="2"/>
      </rPr>
      <t>Step 1</t>
    </r>
    <r>
      <rPr>
        <sz val="12"/>
        <rFont val="Arial"/>
        <family val="2"/>
      </rPr>
      <t xml:space="preserve"> Identify the proposed project components: The applicant must identify each of the project components as identified in the CDFA SWEEP "Request for Grant Applications" or listed in Table 1 of ARB's quantification methodology document that are applicable to the proposed project.
</t>
    </r>
    <r>
      <rPr>
        <b/>
        <sz val="12"/>
        <rFont val="Arial"/>
        <family val="2"/>
      </rPr>
      <t xml:space="preserve">Step 2 </t>
    </r>
    <r>
      <rPr>
        <sz val="12"/>
        <rFont val="Arial"/>
        <family val="2"/>
      </rPr>
      <t xml:space="preserve">Determine the inputs needed:  The applicant will use Table 2 in ARB's quantification methodology document to determine the required project details needed for input into this calculator tool for the applicable project type selected in Step 1. 
</t>
    </r>
    <r>
      <rPr>
        <b/>
        <sz val="12"/>
        <rFont val="Arial"/>
        <family val="2"/>
      </rPr>
      <t xml:space="preserve">
Step 3</t>
    </r>
    <r>
      <rPr>
        <sz val="12"/>
        <rFont val="Arial"/>
        <family val="2"/>
      </rPr>
      <t xml:space="preserve"> Estimate GHG emission reductions:  The applicant will enter the project details identified in Step 2 into this GHG calculator tool to calculate the GHG emission reductions over the project life.</t>
    </r>
  </si>
  <si>
    <t>Total funds requested ($):</t>
  </si>
  <si>
    <t>Greenhouse Gas Emission Reduction Calculator</t>
  </si>
  <si>
    <t>Total Funds Requested ($)</t>
  </si>
  <si>
    <t>Total GHG Emission Reductions per Total Funds Requested ($)</t>
  </si>
  <si>
    <t>Project ID (from Application portal):</t>
  </si>
  <si>
    <r>
      <rPr>
        <b/>
        <sz val="12"/>
        <rFont val="Arial"/>
        <family val="2"/>
      </rPr>
      <t>Inputs Tabs:</t>
    </r>
    <r>
      <rPr>
        <sz val="12"/>
        <rFont val="Arial"/>
        <family val="2"/>
      </rPr>
      <t xml:space="preserve">
Headers in red indicate input needed by the project applicant.  For each row, applicants must work from left to right and enter all relevant data.  Some cells may not be applicable to the project.   Definitions are provided in the Definitions tab and default values used in calculations are visible in the Defaults tab. Inputs must be substantiated in the documentation provided to ARB; see Section C. Documentation of the quantification methodology.
</t>
    </r>
  </si>
  <si>
    <t xml:space="preserve">Application ID: </t>
  </si>
  <si>
    <t>cdfa.sweeptech@cdfa.ca.gov</t>
  </si>
  <si>
    <t>ARB released the draft quantification methodology and SWEEP GHG Calculator Tool for public comment in November 2016.  The quantification methodology and accompanying GHG emission reduction calculator have been updated to reflect CDFA Program updates and public comments received.</t>
  </si>
  <si>
    <t>https://www.cdfa.ca.gov/oefi/sweep/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</si>
</sst>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0.0000000"/>
    <numFmt numFmtId="166" formatCode="0.0000"/>
    <numFmt numFmtId="167" formatCode="0.000000"/>
    <numFmt numFmtId="168" formatCode="_(&quot;$&quot;* #,##0_);_(&quot;$&quot;* \(#,##0\);_(&quot;$&quot;* &quot;-&quot;??_);_(@_)"/>
    <numFmt numFmtId="169" formatCode="_(* #,##0.000_);_(* \(#,##0.000\);_(* &quot;-&quot;???_);_(@_)"/>
    <numFmt numFmtId="170" formatCode="0.00000"/>
    <numFmt numFmtId="171" formatCode="#,##0.00000_);\(#,##0.00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indexed="12"/>
      <name val="Arial"/>
      <family val="2"/>
    </font>
    <font>
      <sz val="10"/>
      <name val="Arial"/>
      <family val="2"/>
    </font>
    <font>
      <b/>
      <sz val="9"/>
      <color indexed="8"/>
      <name val="Tahoma"/>
      <family val="2"/>
    </font>
    <font>
      <sz val="10"/>
      <name val="MS Sans Serif"/>
      <family val="2"/>
    </font>
    <font>
      <b/>
      <sz val="14"/>
      <color theme="1"/>
      <name val="Lucida Sans"/>
      <family val="2"/>
    </font>
    <font>
      <b/>
      <sz val="12"/>
      <name val="Lucida Sans"/>
      <family val="2"/>
    </font>
    <font>
      <sz val="12"/>
      <name val="Lucida Sans"/>
      <family val="2"/>
    </font>
    <font>
      <b/>
      <sz val="12"/>
      <color rgb="FFFF0000"/>
      <name val="Lucida Sans"/>
      <family val="2"/>
    </font>
    <font>
      <b/>
      <sz val="12"/>
      <color theme="1"/>
      <name val="Lucida Sans"/>
      <family val="2"/>
    </font>
    <font>
      <sz val="12"/>
      <name val="Arial"/>
      <family val="2"/>
    </font>
    <font>
      <sz val="14"/>
      <name val="Arial"/>
      <family val="2"/>
    </font>
    <font>
      <b/>
      <sz val="12"/>
      <name val="Arial"/>
      <family val="2"/>
    </font>
    <font>
      <sz val="11"/>
      <name val="Arial"/>
      <family val="2"/>
    </font>
    <font>
      <u/>
      <sz val="10"/>
      <color theme="10"/>
      <name val="Arial"/>
      <family val="2"/>
    </font>
    <font>
      <sz val="14"/>
      <name val="Lucida Sans"/>
      <family val="2"/>
    </font>
    <font>
      <b/>
      <sz val="14"/>
      <name val="Lucida Sans"/>
      <family val="2"/>
    </font>
    <font>
      <u/>
      <sz val="12"/>
      <color rgb="FF0070C0"/>
      <name val="Arial"/>
      <family val="2"/>
    </font>
    <font>
      <sz val="11"/>
      <name val="Calibri"/>
      <family val="2"/>
    </font>
    <font>
      <sz val="12"/>
      <color theme="1"/>
      <name val="Lucida Sans"/>
      <family val="2"/>
    </font>
    <font>
      <sz val="12"/>
      <color theme="0"/>
      <name val="Arial"/>
      <family val="2"/>
    </font>
    <font>
      <sz val="10"/>
      <color theme="0"/>
      <name val="Arial"/>
      <family val="2"/>
    </font>
    <font>
      <sz val="14"/>
      <color rgb="FFFF0000"/>
      <name val="Lucida Sans"/>
      <family val="2"/>
    </font>
    <font>
      <b/>
      <sz val="16"/>
      <name val="Lucida Sans"/>
      <family val="2"/>
    </font>
    <font>
      <b/>
      <sz val="16"/>
      <color theme="1"/>
      <name val="Lucida Sans"/>
      <family val="2"/>
    </font>
    <font>
      <b/>
      <sz val="10"/>
      <name val="Lucida Sans"/>
      <family val="2"/>
    </font>
    <font>
      <u/>
      <sz val="12"/>
      <color theme="10"/>
      <name val="Arial"/>
      <family val="2"/>
    </font>
    <font>
      <b/>
      <sz val="11"/>
      <name val="Arial"/>
      <family val="2"/>
    </font>
    <font>
      <b/>
      <sz val="9"/>
      <color indexed="81"/>
      <name val="Tahoma"/>
      <family val="2"/>
    </font>
    <font>
      <u/>
      <sz val="12"/>
      <color rgb="FF0000FF"/>
      <name val="Arial"/>
      <family val="2"/>
    </font>
    <font>
      <b/>
      <sz val="10"/>
      <name val="Arial"/>
      <family val="2"/>
    </font>
    <font>
      <b/>
      <sz val="12"/>
      <color rgb="FF000000"/>
      <name val="Arial"/>
      <family val="2"/>
    </font>
    <font>
      <b/>
      <u/>
      <sz val="10"/>
      <color theme="1"/>
      <name val="Arial"/>
      <family val="2"/>
    </font>
    <font>
      <sz val="10"/>
      <color rgb="FF000000"/>
      <name val="Arial"/>
      <family val="2"/>
    </font>
    <font>
      <sz val="10"/>
      <color theme="1"/>
      <name val="Arial"/>
      <family val="2"/>
    </font>
    <font>
      <u/>
      <sz val="10"/>
      <color rgb="FF0000FF"/>
      <name val="Arial"/>
      <family val="2"/>
    </font>
    <font>
      <b/>
      <u/>
      <sz val="10"/>
      <name val="Arial"/>
      <family val="2"/>
    </font>
    <font>
      <sz val="11"/>
      <name val="Calibri"/>
      <family val="2"/>
      <scheme val="minor"/>
    </font>
    <font>
      <sz val="9"/>
      <color indexed="81"/>
      <name val="Tahoma"/>
      <family val="2"/>
    </font>
    <font>
      <b/>
      <i/>
      <u/>
      <sz val="9"/>
      <color indexed="81"/>
      <name val="Tahoma"/>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D9D9D9"/>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indexed="64"/>
      </top>
      <bottom/>
      <diagonal/>
    </border>
  </borders>
  <cellStyleXfs count="7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1" fillId="33" borderId="10">
      <alignment vertical="center"/>
    </xf>
    <xf numFmtId="0" fontId="1" fillId="0" borderId="0"/>
    <xf numFmtId="0" fontId="20" fillId="0" borderId="0"/>
    <xf numFmtId="9" fontId="20" fillId="0" borderId="0" applyFont="0" applyFill="0" applyBorder="0" applyAlignment="0" applyProtection="0"/>
    <xf numFmtId="44" fontId="20" fillId="0" borderId="0" applyFont="0" applyFill="0" applyBorder="0" applyAlignment="0" applyProtection="0"/>
    <xf numFmtId="0" fontId="20" fillId="0" borderId="0"/>
    <xf numFmtId="0" fontId="22" fillId="0" borderId="0"/>
    <xf numFmtId="0" fontId="19" fillId="0" borderId="11" applyNumberFormat="0" applyFill="0" applyProtection="0">
      <alignment horizontal="left"/>
    </xf>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0"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32" fillId="0" borderId="0" applyNumberForma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08">
    <xf numFmtId="0" fontId="0" fillId="0" borderId="0" xfId="0"/>
    <xf numFmtId="0" fontId="18" fillId="34" borderId="0" xfId="42" applyFill="1"/>
    <xf numFmtId="0" fontId="0" fillId="34" borderId="0" xfId="0" applyFill="1"/>
    <xf numFmtId="0" fontId="28" fillId="34" borderId="0" xfId="42" applyFont="1" applyFill="1" applyAlignment="1">
      <alignment vertical="top" wrapText="1"/>
    </xf>
    <xf numFmtId="0" fontId="28" fillId="34" borderId="0" xfId="42" applyFont="1" applyFill="1" applyAlignment="1">
      <alignment vertical="center"/>
    </xf>
    <xf numFmtId="0" fontId="28" fillId="34" borderId="0" xfId="42" applyFont="1" applyFill="1"/>
    <xf numFmtId="0" fontId="18" fillId="34" borderId="0" xfId="42" applyFill="1" applyProtection="1"/>
    <xf numFmtId="0" fontId="25" fillId="34" borderId="0" xfId="42" applyFont="1" applyFill="1" applyBorder="1"/>
    <xf numFmtId="0" fontId="24" fillId="37" borderId="11" xfId="42" applyFont="1" applyFill="1" applyBorder="1" applyAlignment="1">
      <alignment horizontal="center" wrapText="1"/>
    </xf>
    <xf numFmtId="0" fontId="25" fillId="38" borderId="11" xfId="42" applyFont="1" applyFill="1" applyBorder="1" applyProtection="1">
      <protection locked="0"/>
    </xf>
    <xf numFmtId="0" fontId="25" fillId="38" borderId="11" xfId="42" applyFont="1" applyFill="1" applyBorder="1" applyAlignment="1" applyProtection="1">
      <alignment horizontal="right"/>
      <protection locked="0"/>
    </xf>
    <xf numFmtId="0" fontId="34" fillId="37" borderId="11" xfId="42" applyFont="1" applyFill="1" applyBorder="1" applyAlignment="1">
      <alignment horizontal="center" vertical="center" wrapText="1"/>
    </xf>
    <xf numFmtId="0" fontId="40" fillId="35" borderId="11" xfId="42" applyFont="1" applyFill="1" applyBorder="1" applyAlignment="1">
      <alignment vertical="center"/>
    </xf>
    <xf numFmtId="0" fontId="33" fillId="35" borderId="11" xfId="42" applyFont="1" applyFill="1" applyBorder="1" applyAlignment="1">
      <alignment vertical="center" wrapText="1"/>
    </xf>
    <xf numFmtId="0" fontId="34" fillId="40" borderId="18" xfId="42" applyFont="1" applyFill="1" applyBorder="1" applyAlignment="1">
      <alignment horizontal="center" vertical="center"/>
    </xf>
    <xf numFmtId="0" fontId="33" fillId="40" borderId="11" xfId="42" applyFont="1" applyFill="1" applyBorder="1" applyAlignment="1">
      <alignment vertical="center" wrapText="1"/>
    </xf>
    <xf numFmtId="0" fontId="29" fillId="40" borderId="11" xfId="42" applyFont="1" applyFill="1" applyBorder="1"/>
    <xf numFmtId="0" fontId="34" fillId="40" borderId="18" xfId="42" applyFont="1" applyFill="1" applyBorder="1" applyAlignment="1">
      <alignment horizontal="center" vertical="center" wrapText="1"/>
    </xf>
    <xf numFmtId="0" fontId="40" fillId="40" borderId="11" xfId="42" applyFont="1" applyFill="1" applyBorder="1" applyAlignment="1">
      <alignment vertical="center"/>
    </xf>
    <xf numFmtId="0" fontId="29" fillId="40" borderId="11" xfId="42" applyFont="1" applyFill="1" applyBorder="1" applyAlignment="1">
      <alignment horizontal="left"/>
    </xf>
    <xf numFmtId="0" fontId="40" fillId="40" borderId="11" xfId="42" applyFont="1" applyFill="1" applyBorder="1" applyAlignment="1">
      <alignment vertical="center" wrapText="1"/>
    </xf>
    <xf numFmtId="0" fontId="29" fillId="40" borderId="11" xfId="42" applyFont="1" applyFill="1" applyBorder="1" applyAlignment="1">
      <alignment horizontal="left" wrapText="1"/>
    </xf>
    <xf numFmtId="0" fontId="40" fillId="35" borderId="11" xfId="42" applyFont="1" applyFill="1" applyBorder="1" applyAlignment="1">
      <alignment vertical="center" wrapText="1"/>
    </xf>
    <xf numFmtId="0" fontId="34" fillId="40" borderId="11" xfId="42" applyFont="1" applyFill="1" applyBorder="1" applyAlignment="1">
      <alignment horizontal="center" vertical="center" wrapText="1"/>
    </xf>
    <xf numFmtId="0" fontId="33" fillId="40" borderId="11" xfId="42" applyFont="1" applyFill="1" applyBorder="1" applyAlignment="1">
      <alignment vertical="center"/>
    </xf>
    <xf numFmtId="0" fontId="40" fillId="40" borderId="11" xfId="42" applyFont="1" applyFill="1" applyBorder="1" applyAlignment="1">
      <alignment horizontal="right" vertical="center"/>
    </xf>
    <xf numFmtId="0" fontId="29" fillId="35" borderId="11" xfId="42" applyFont="1" applyFill="1" applyBorder="1"/>
    <xf numFmtId="0" fontId="29" fillId="35" borderId="11" xfId="42" applyFont="1" applyFill="1" applyBorder="1" applyAlignment="1">
      <alignment horizontal="left"/>
    </xf>
    <xf numFmtId="0" fontId="29" fillId="35" borderId="11" xfId="42" applyFont="1" applyFill="1" applyBorder="1" applyAlignment="1">
      <alignment horizontal="left" wrapText="1"/>
    </xf>
    <xf numFmtId="0" fontId="25" fillId="35" borderId="11" xfId="42" applyFont="1" applyFill="1" applyBorder="1" applyAlignment="1">
      <alignment horizontal="center" vertical="center" wrapText="1"/>
    </xf>
    <xf numFmtId="0" fontId="25" fillId="35" borderId="11" xfId="42" applyFont="1" applyFill="1" applyBorder="1" applyAlignment="1">
      <alignment horizontal="center"/>
    </xf>
    <xf numFmtId="0" fontId="24" fillId="37" borderId="11" xfId="42" applyFont="1" applyFill="1" applyBorder="1" applyAlignment="1">
      <alignment horizontal="center" vertical="center" wrapText="1"/>
    </xf>
    <xf numFmtId="0" fontId="25" fillId="36" borderId="11" xfId="42" applyFont="1" applyFill="1" applyBorder="1" applyAlignment="1">
      <alignment horizontal="left" vertical="center" wrapText="1"/>
    </xf>
    <xf numFmtId="0" fontId="25" fillId="36" borderId="11" xfId="42" applyFont="1" applyFill="1" applyBorder="1" applyProtection="1"/>
    <xf numFmtId="2" fontId="25" fillId="35" borderId="11" xfId="42" applyNumberFormat="1" applyFont="1" applyFill="1" applyBorder="1" applyProtection="1"/>
    <xf numFmtId="0" fontId="30" fillId="37" borderId="11" xfId="42" applyFont="1" applyFill="1" applyBorder="1" applyAlignment="1">
      <alignment vertical="center"/>
    </xf>
    <xf numFmtId="0" fontId="28" fillId="35" borderId="11" xfId="42" applyFont="1" applyFill="1" applyBorder="1" applyAlignment="1">
      <alignment vertical="center"/>
    </xf>
    <xf numFmtId="0" fontId="25" fillId="34" borderId="0" xfId="42" applyFont="1" applyFill="1"/>
    <xf numFmtId="0" fontId="18" fillId="34" borderId="0" xfId="42" applyNumberFormat="1" applyFill="1" applyBorder="1"/>
    <xf numFmtId="2" fontId="24" fillId="38" borderId="11" xfId="42" applyNumberFormat="1" applyFont="1" applyFill="1" applyBorder="1" applyAlignment="1" applyProtection="1">
      <alignment horizontal="center" vertical="center"/>
    </xf>
    <xf numFmtId="0" fontId="32" fillId="34" borderId="0" xfId="72" applyFill="1" applyAlignment="1">
      <alignment vertical="top" wrapText="1"/>
    </xf>
    <xf numFmtId="0" fontId="38" fillId="34" borderId="0" xfId="42" applyFont="1" applyFill="1" applyAlignment="1">
      <alignment vertical="top" wrapText="1"/>
    </xf>
    <xf numFmtId="0" fontId="38" fillId="34" borderId="0" xfId="42" applyFont="1" applyFill="1" applyAlignment="1">
      <alignment vertical="center"/>
    </xf>
    <xf numFmtId="0" fontId="39" fillId="34" borderId="0" xfId="42" applyFont="1" applyFill="1"/>
    <xf numFmtId="0" fontId="36" fillId="34" borderId="0" xfId="42" applyFont="1" applyFill="1" applyAlignment="1">
      <alignment vertical="center"/>
    </xf>
    <xf numFmtId="0" fontId="25" fillId="36" borderId="11" xfId="42" applyFont="1" applyFill="1" applyBorder="1" applyAlignment="1">
      <alignment horizontal="left"/>
    </xf>
    <xf numFmtId="0" fontId="25" fillId="36" borderId="11" xfId="42" applyFont="1" applyFill="1" applyBorder="1" applyAlignment="1">
      <alignment horizontal="center" vertical="center" wrapText="1"/>
    </xf>
    <xf numFmtId="0" fontId="28" fillId="34" borderId="0" xfId="42" applyFont="1" applyFill="1" applyBorder="1"/>
    <xf numFmtId="0" fontId="29" fillId="34" borderId="0" xfId="42" applyFont="1" applyFill="1" applyBorder="1"/>
    <xf numFmtId="1" fontId="34" fillId="40" borderId="11" xfId="65" applyNumberFormat="1" applyFont="1" applyFill="1" applyBorder="1" applyAlignment="1">
      <alignment horizontal="left" vertical="center" wrapText="1"/>
    </xf>
    <xf numFmtId="0" fontId="42" fillId="34" borderId="0" xfId="44" applyFont="1" applyFill="1" applyAlignment="1">
      <alignment horizontal="center"/>
    </xf>
    <xf numFmtId="0" fontId="24" fillId="37" borderId="19" xfId="42" applyFont="1" applyFill="1" applyBorder="1" applyAlignment="1">
      <alignment horizontal="center" vertical="center" wrapText="1"/>
    </xf>
    <xf numFmtId="0" fontId="25" fillId="36" borderId="12" xfId="42" applyFont="1" applyFill="1" applyBorder="1" applyAlignment="1">
      <alignment horizontal="center" vertical="center" wrapText="1"/>
    </xf>
    <xf numFmtId="0" fontId="25" fillId="36" borderId="12" xfId="42" applyFont="1" applyFill="1" applyBorder="1" applyAlignment="1">
      <alignment horizontal="left" vertical="center" wrapText="1"/>
    </xf>
    <xf numFmtId="0" fontId="28" fillId="34" borderId="0" xfId="42" applyFont="1" applyFill="1" applyBorder="1" applyAlignment="1">
      <alignment horizontal="left"/>
    </xf>
    <xf numFmtId="0" fontId="41" fillId="34" borderId="0" xfId="44" applyFont="1" applyFill="1" applyAlignment="1">
      <alignment horizontal="center"/>
    </xf>
    <xf numFmtId="0" fontId="41" fillId="34" borderId="0" xfId="42" applyFont="1" applyFill="1" applyBorder="1" applyAlignment="1">
      <alignment horizontal="center"/>
    </xf>
    <xf numFmtId="0" fontId="37" fillId="35" borderId="11" xfId="44" applyFont="1" applyFill="1" applyBorder="1" applyAlignment="1">
      <alignment horizontal="left"/>
    </xf>
    <xf numFmtId="2" fontId="37" fillId="35" borderId="11" xfId="44" applyNumberFormat="1" applyFont="1" applyFill="1" applyBorder="1" applyAlignment="1"/>
    <xf numFmtId="164" fontId="25" fillId="38" borderId="11" xfId="65" applyNumberFormat="1" applyFont="1" applyFill="1" applyBorder="1" applyAlignment="1" applyProtection="1">
      <alignment horizontal="right"/>
      <protection locked="0"/>
    </xf>
    <xf numFmtId="9" fontId="25" fillId="38" borderId="11" xfId="46" applyNumberFormat="1" applyFont="1" applyFill="1" applyBorder="1" applyAlignment="1" applyProtection="1">
      <alignment horizontal="right"/>
      <protection locked="0"/>
    </xf>
    <xf numFmtId="9" fontId="25" fillId="38" borderId="11" xfId="76" applyFont="1" applyFill="1" applyBorder="1" applyAlignment="1" applyProtection="1">
      <alignment horizontal="right"/>
      <protection locked="0"/>
    </xf>
    <xf numFmtId="0" fontId="25" fillId="39" borderId="11" xfId="42" applyFont="1" applyFill="1" applyBorder="1" applyAlignment="1">
      <alignment horizontal="left" vertical="center" wrapText="1"/>
    </xf>
    <xf numFmtId="0" fontId="35" fillId="0" borderId="0" xfId="72" applyFont="1" applyFill="1" applyAlignment="1" applyProtection="1">
      <alignment horizontal="left"/>
      <protection locked="0"/>
    </xf>
    <xf numFmtId="2" fontId="25" fillId="36" borderId="11" xfId="42" applyNumberFormat="1" applyFont="1" applyFill="1" applyBorder="1" applyProtection="1"/>
    <xf numFmtId="0" fontId="25" fillId="38" borderId="11" xfId="42" applyFont="1" applyFill="1" applyBorder="1" applyAlignment="1" applyProtection="1">
      <alignment horizontal="right" vertical="center"/>
      <protection locked="0"/>
    </xf>
    <xf numFmtId="0" fontId="33" fillId="35" borderId="11" xfId="42" applyFont="1" applyFill="1" applyBorder="1" applyAlignment="1">
      <alignment horizontal="left" vertical="center"/>
    </xf>
    <xf numFmtId="0" fontId="40" fillId="35" borderId="11" xfId="42" applyFont="1" applyFill="1" applyBorder="1" applyAlignment="1">
      <alignment horizontal="left" vertical="center"/>
    </xf>
    <xf numFmtId="0" fontId="48" fillId="34" borderId="0" xfId="42" applyFont="1" applyFill="1"/>
    <xf numFmtId="0" fontId="25" fillId="36" borderId="11" xfId="42" applyFont="1" applyFill="1" applyBorder="1" applyAlignment="1" applyProtection="1">
      <alignment horizontal="right"/>
    </xf>
    <xf numFmtId="0" fontId="49" fillId="41" borderId="26" xfId="0" applyFont="1" applyFill="1" applyBorder="1" applyAlignment="1">
      <alignment vertical="center"/>
    </xf>
    <xf numFmtId="0" fontId="52" fillId="34" borderId="0" xfId="0" applyFont="1" applyFill="1"/>
    <xf numFmtId="0" fontId="28" fillId="35" borderId="11" xfId="42" applyFont="1" applyFill="1" applyBorder="1" applyAlignment="1">
      <alignment horizontal="center" vertical="center"/>
    </xf>
    <xf numFmtId="0" fontId="50" fillId="34" borderId="0" xfId="0" applyFont="1" applyFill="1" applyAlignment="1">
      <alignment vertical="center"/>
    </xf>
    <xf numFmtId="0" fontId="51" fillId="34" borderId="0" xfId="0" applyFont="1" applyFill="1" applyAlignment="1">
      <alignment vertical="center"/>
    </xf>
    <xf numFmtId="0" fontId="18" fillId="34" borderId="0" xfId="0" applyFont="1" applyFill="1" applyAlignment="1">
      <alignment vertical="center"/>
    </xf>
    <xf numFmtId="0" fontId="55" fillId="34" borderId="0" xfId="0" applyFont="1" applyFill="1"/>
    <xf numFmtId="0" fontId="18" fillId="34" borderId="0" xfId="42" quotePrefix="1" applyFont="1" applyFill="1" applyAlignment="1"/>
    <xf numFmtId="0" fontId="18" fillId="34" borderId="0" xfId="0" quotePrefix="1" applyFont="1" applyFill="1" applyAlignment="1"/>
    <xf numFmtId="0" fontId="52" fillId="34" borderId="0" xfId="0" applyFont="1" applyFill="1" applyAlignment="1">
      <alignment vertical="center"/>
    </xf>
    <xf numFmtId="0" fontId="32" fillId="34" borderId="0" xfId="72" applyFill="1" applyAlignment="1">
      <alignment vertical="center"/>
    </xf>
    <xf numFmtId="0" fontId="53" fillId="34" borderId="0" xfId="0" applyFont="1" applyFill="1" applyAlignment="1">
      <alignment vertical="center"/>
    </xf>
    <xf numFmtId="0" fontId="54" fillId="34" borderId="0" xfId="0" applyFont="1" applyFill="1" applyAlignment="1">
      <alignment vertical="center"/>
    </xf>
    <xf numFmtId="0" fontId="18" fillId="34" borderId="0" xfId="0" quotePrefix="1" applyFont="1" applyFill="1"/>
    <xf numFmtId="0" fontId="32" fillId="34" borderId="0" xfId="72" quotePrefix="1" applyFill="1"/>
    <xf numFmtId="0" fontId="25" fillId="35" borderId="12" xfId="42" applyFont="1" applyFill="1" applyBorder="1" applyAlignment="1">
      <alignment horizontal="center" vertical="center" wrapText="1"/>
    </xf>
    <xf numFmtId="165" fontId="25" fillId="35" borderId="11" xfId="42" applyNumberFormat="1" applyFont="1" applyFill="1" applyBorder="1" applyAlignment="1">
      <alignment horizontal="center" vertical="center" wrapText="1"/>
    </xf>
    <xf numFmtId="0" fontId="52" fillId="34" borderId="0" xfId="0" quotePrefix="1" applyFont="1" applyFill="1" applyAlignment="1">
      <alignment vertical="center"/>
    </xf>
    <xf numFmtId="0" fontId="25" fillId="35" borderId="12" xfId="42" applyFont="1" applyFill="1" applyBorder="1" applyAlignment="1">
      <alignment horizontal="center" vertical="center"/>
    </xf>
    <xf numFmtId="0" fontId="25" fillId="35" borderId="11" xfId="42" applyFont="1" applyFill="1" applyBorder="1" applyAlignment="1">
      <alignment horizontal="center" vertical="center"/>
    </xf>
    <xf numFmtId="166" fontId="25" fillId="35" borderId="11" xfId="73" applyNumberFormat="1" applyFont="1" applyFill="1" applyBorder="1" applyAlignment="1">
      <alignment horizontal="center"/>
    </xf>
    <xf numFmtId="166" fontId="25" fillId="39" borderId="11" xfId="73" applyNumberFormat="1" applyFont="1" applyFill="1" applyBorder="1" applyAlignment="1">
      <alignment horizontal="center"/>
    </xf>
    <xf numFmtId="0" fontId="25" fillId="39" borderId="11" xfId="42" applyFont="1" applyFill="1" applyBorder="1" applyAlignment="1">
      <alignment horizontal="center" vertical="center"/>
    </xf>
    <xf numFmtId="166" fontId="25" fillId="35" borderId="11" xfId="73" applyNumberFormat="1" applyFont="1" applyFill="1" applyBorder="1" applyAlignment="1">
      <alignment horizontal="center" vertical="center"/>
    </xf>
    <xf numFmtId="166" fontId="25" fillId="39" borderId="11" xfId="73" applyNumberFormat="1" applyFont="1" applyFill="1" applyBorder="1" applyAlignment="1">
      <alignment horizontal="center" vertical="center"/>
    </xf>
    <xf numFmtId="167" fontId="25" fillId="35" borderId="11" xfId="42" applyNumberFormat="1" applyFont="1" applyFill="1" applyBorder="1" applyAlignment="1">
      <alignment horizontal="center" vertical="center" wrapText="1"/>
    </xf>
    <xf numFmtId="169" fontId="25" fillId="39" borderId="11" xfId="42" applyNumberFormat="1" applyFont="1" applyFill="1" applyBorder="1" applyAlignment="1" applyProtection="1">
      <alignment horizontal="right" vertical="center"/>
    </xf>
    <xf numFmtId="43" fontId="25" fillId="39" borderId="11" xfId="42" applyNumberFormat="1" applyFont="1" applyFill="1" applyBorder="1" applyAlignment="1" applyProtection="1">
      <alignment horizontal="right" vertical="center"/>
    </xf>
    <xf numFmtId="170" fontId="25" fillId="39" borderId="11" xfId="42" applyNumberFormat="1" applyFont="1" applyFill="1" applyBorder="1" applyAlignment="1" applyProtection="1">
      <alignment horizontal="right" vertical="center"/>
    </xf>
    <xf numFmtId="168" fontId="25" fillId="39" borderId="11" xfId="42" applyNumberFormat="1" applyFont="1" applyFill="1" applyBorder="1" applyAlignment="1" applyProtection="1">
      <alignment horizontal="right" vertical="center"/>
    </xf>
    <xf numFmtId="171" fontId="25" fillId="39" borderId="11" xfId="42" applyNumberFormat="1" applyFont="1" applyFill="1" applyBorder="1" applyAlignment="1" applyProtection="1">
      <alignment horizontal="right" vertical="center"/>
    </xf>
    <xf numFmtId="0" fontId="18" fillId="0" borderId="0" xfId="42" applyFill="1" applyProtection="1"/>
    <xf numFmtId="0" fontId="34" fillId="0" borderId="0" xfId="44" applyFont="1" applyFill="1" applyAlignment="1" applyProtection="1">
      <alignment horizontal="center"/>
    </xf>
    <xf numFmtId="0" fontId="0" fillId="34" borderId="0" xfId="0" applyFill="1" applyProtection="1"/>
    <xf numFmtId="0" fontId="34" fillId="0" borderId="0" xfId="42" applyFont="1" applyFill="1" applyBorder="1" applyAlignment="1" applyProtection="1">
      <alignment horizontal="center"/>
    </xf>
    <xf numFmtId="0" fontId="23" fillId="0" borderId="0" xfId="44" applyFont="1" applyFill="1" applyAlignment="1" applyProtection="1">
      <alignment horizontal="center"/>
    </xf>
    <xf numFmtId="0" fontId="0" fillId="0" borderId="0" xfId="0" applyFill="1" applyProtection="1"/>
    <xf numFmtId="0" fontId="28" fillId="0" borderId="0" xfId="42" applyFont="1" applyFill="1" applyAlignment="1" applyProtection="1">
      <alignment horizontal="left" vertical="top" wrapText="1"/>
    </xf>
    <xf numFmtId="0" fontId="28" fillId="0" borderId="0" xfId="42" applyFont="1" applyFill="1" applyAlignment="1" applyProtection="1">
      <alignment vertical="top" wrapText="1"/>
    </xf>
    <xf numFmtId="0" fontId="28" fillId="0" borderId="0" xfId="42" applyFont="1" applyFill="1" applyAlignment="1" applyProtection="1">
      <alignment vertical="top"/>
    </xf>
    <xf numFmtId="0" fontId="44" fillId="0" borderId="0" xfId="72" applyFont="1" applyFill="1" applyAlignment="1" applyProtection="1">
      <alignment vertical="top"/>
    </xf>
    <xf numFmtId="0" fontId="35" fillId="0" borderId="0" xfId="72" applyFont="1" applyFill="1" applyAlignment="1" applyProtection="1">
      <alignment vertical="top"/>
    </xf>
    <xf numFmtId="0" fontId="28" fillId="0" borderId="0" xfId="42" applyFont="1" applyFill="1" applyAlignment="1" applyProtection="1">
      <alignment vertical="center"/>
    </xf>
    <xf numFmtId="0" fontId="28" fillId="0" borderId="0" xfId="42" applyFont="1" applyFill="1" applyProtection="1"/>
    <xf numFmtId="0" fontId="26" fillId="36" borderId="11" xfId="42" applyFont="1" applyFill="1" applyBorder="1" applyAlignment="1" applyProtection="1">
      <alignment horizontal="left"/>
    </xf>
    <xf numFmtId="0" fontId="28" fillId="0" borderId="0" xfId="42" applyFont="1" applyFill="1" applyAlignment="1" applyProtection="1">
      <alignment horizontal="left"/>
    </xf>
    <xf numFmtId="0" fontId="31" fillId="0" borderId="0" xfId="42" applyFont="1" applyFill="1" applyProtection="1"/>
    <xf numFmtId="1" fontId="24" fillId="36" borderId="14" xfId="65" applyNumberFormat="1" applyFont="1" applyFill="1" applyBorder="1" applyAlignment="1" applyProtection="1">
      <alignment horizontal="center" vertical="center" wrapText="1"/>
    </xf>
    <xf numFmtId="1" fontId="24" fillId="39" borderId="11" xfId="65" applyNumberFormat="1" applyFont="1" applyFill="1" applyBorder="1" applyAlignment="1" applyProtection="1">
      <alignment horizontal="center" vertical="center" wrapText="1"/>
    </xf>
    <xf numFmtId="0" fontId="26" fillId="35" borderId="11" xfId="73" applyFont="1" applyFill="1" applyBorder="1" applyAlignment="1" applyProtection="1">
      <alignment horizontal="left" vertical="center"/>
    </xf>
    <xf numFmtId="0" fontId="24" fillId="35" borderId="11" xfId="73" applyFont="1" applyFill="1" applyBorder="1" applyAlignment="1" applyProtection="1">
      <alignment horizontal="left" vertical="center" wrapText="1"/>
    </xf>
    <xf numFmtId="1" fontId="24" fillId="39" borderId="14" xfId="65" applyNumberFormat="1" applyFont="1" applyFill="1" applyBorder="1" applyAlignment="1" applyProtection="1">
      <alignment horizontal="center" vertical="center" wrapText="1"/>
    </xf>
    <xf numFmtId="0" fontId="24" fillId="39" borderId="11" xfId="42" applyFont="1" applyFill="1" applyBorder="1" applyAlignment="1" applyProtection="1">
      <alignment horizontal="center" vertical="center"/>
    </xf>
    <xf numFmtId="0" fontId="26" fillId="35" borderId="11" xfId="42" applyFont="1" applyFill="1" applyBorder="1" applyAlignment="1" applyProtection="1">
      <alignment horizontal="left" vertical="center"/>
    </xf>
    <xf numFmtId="0" fontId="26" fillId="35" borderId="11" xfId="42" applyFont="1" applyFill="1" applyBorder="1" applyAlignment="1" applyProtection="1">
      <alignment horizontal="left" vertical="center" wrapText="1"/>
    </xf>
    <xf numFmtId="0" fontId="24" fillId="35" borderId="11" xfId="42" applyFont="1" applyFill="1" applyBorder="1" applyAlignment="1" applyProtection="1">
      <alignment horizontal="center" vertical="center"/>
    </xf>
    <xf numFmtId="0" fontId="25" fillId="36" borderId="11" xfId="42" applyFont="1" applyFill="1" applyBorder="1" applyAlignment="1" applyProtection="1">
      <alignment horizontal="center"/>
    </xf>
    <xf numFmtId="0" fontId="26" fillId="35" borderId="11" xfId="42" applyFont="1" applyFill="1" applyBorder="1" applyAlignment="1" applyProtection="1">
      <alignment horizontal="center" vertical="center"/>
    </xf>
    <xf numFmtId="43" fontId="0" fillId="34" borderId="0" xfId="77" applyFont="1" applyFill="1" applyProtection="1"/>
    <xf numFmtId="0" fontId="26" fillId="35" borderId="11" xfId="72" applyFont="1" applyFill="1" applyBorder="1" applyAlignment="1" applyProtection="1">
      <alignment horizontal="left" vertical="center"/>
    </xf>
    <xf numFmtId="9" fontId="0" fillId="34" borderId="0" xfId="0" applyNumberFormat="1" applyFill="1" applyProtection="1"/>
    <xf numFmtId="1" fontId="24" fillId="36" borderId="11" xfId="65" applyNumberFormat="1" applyFont="1" applyFill="1" applyBorder="1" applyAlignment="1" applyProtection="1">
      <alignment horizontal="center" vertical="center" wrapText="1"/>
    </xf>
    <xf numFmtId="0" fontId="18" fillId="36" borderId="11" xfId="42" applyFill="1" applyBorder="1" applyProtection="1"/>
    <xf numFmtId="0" fontId="24" fillId="39" borderId="12" xfId="42" applyFont="1" applyFill="1" applyBorder="1" applyAlignment="1" applyProtection="1">
      <alignment horizontal="center" vertical="center" wrapText="1"/>
    </xf>
    <xf numFmtId="0" fontId="18" fillId="36" borderId="0" xfId="42" applyFill="1" applyBorder="1" applyProtection="1"/>
    <xf numFmtId="0" fontId="24" fillId="35" borderId="11" xfId="42" applyFont="1" applyFill="1" applyBorder="1" applyAlignment="1" applyProtection="1">
      <alignment horizontal="left" vertical="center" wrapText="1"/>
    </xf>
    <xf numFmtId="0" fontId="18" fillId="36" borderId="12" xfId="42" applyFill="1" applyBorder="1" applyProtection="1"/>
    <xf numFmtId="0" fontId="0" fillId="0" borderId="0" xfId="0" applyProtection="1"/>
    <xf numFmtId="0" fontId="45" fillId="34" borderId="0" xfId="42" applyFont="1" applyFill="1" applyProtection="1"/>
    <xf numFmtId="0" fontId="0" fillId="0" borderId="0" xfId="0" applyFill="1" applyBorder="1" applyProtection="1"/>
    <xf numFmtId="0" fontId="33" fillId="34" borderId="0" xfId="42" applyFont="1" applyFill="1" applyProtection="1"/>
    <xf numFmtId="0" fontId="27" fillId="35" borderId="11" xfId="42" applyFont="1" applyFill="1" applyBorder="1" applyAlignment="1" applyProtection="1">
      <alignment horizontal="left"/>
    </xf>
    <xf numFmtId="0" fontId="25" fillId="34" borderId="0" xfId="42" applyFont="1" applyFill="1" applyBorder="1" applyAlignment="1" applyProtection="1"/>
    <xf numFmtId="0" fontId="27" fillId="34" borderId="0" xfId="44" applyFont="1" applyFill="1" applyProtection="1"/>
    <xf numFmtId="0" fontId="18" fillId="34" borderId="0" xfId="42" applyFill="1" applyBorder="1" applyAlignment="1" applyProtection="1">
      <alignment horizontal="left"/>
    </xf>
    <xf numFmtId="0" fontId="20" fillId="34" borderId="0" xfId="42" applyFont="1" applyFill="1" applyBorder="1" applyAlignment="1" applyProtection="1">
      <alignment horizontal="left"/>
    </xf>
    <xf numFmtId="0" fontId="18" fillId="34" borderId="0" xfId="42" applyFill="1" applyBorder="1" applyProtection="1"/>
    <xf numFmtId="0" fontId="24" fillId="37" borderId="11" xfId="42" applyFont="1" applyFill="1" applyBorder="1" applyAlignment="1" applyProtection="1">
      <alignment horizontal="center" vertical="center" wrapText="1"/>
    </xf>
    <xf numFmtId="0" fontId="24" fillId="37" borderId="11" xfId="42" applyFont="1" applyFill="1" applyBorder="1" applyAlignment="1" applyProtection="1">
      <alignment horizontal="center" wrapText="1"/>
    </xf>
    <xf numFmtId="0" fontId="24" fillId="35" borderId="11" xfId="42" applyFont="1" applyFill="1" applyBorder="1" applyAlignment="1" applyProtection="1">
      <alignment horizontal="center" vertical="center" wrapText="1"/>
    </xf>
    <xf numFmtId="164" fontId="25" fillId="38" borderId="11" xfId="65" applyNumberFormat="1" applyFont="1" applyFill="1" applyBorder="1" applyAlignment="1" applyProtection="1">
      <alignment horizontal="right" vertical="center"/>
      <protection locked="0"/>
    </xf>
    <xf numFmtId="9" fontId="25" fillId="38" borderId="11" xfId="76" applyFont="1" applyFill="1" applyBorder="1" applyAlignment="1" applyProtection="1">
      <alignment horizontal="right" vertical="center"/>
      <protection locked="0"/>
    </xf>
    <xf numFmtId="9" fontId="25" fillId="38" borderId="11" xfId="46" applyNumberFormat="1" applyFont="1" applyFill="1" applyBorder="1" applyAlignment="1" applyProtection="1">
      <alignment horizontal="right" vertical="center"/>
      <protection locked="0"/>
    </xf>
    <xf numFmtId="0" fontId="34" fillId="34" borderId="0" xfId="44" applyFont="1" applyFill="1" applyAlignment="1">
      <alignment horizontal="center"/>
    </xf>
    <xf numFmtId="0" fontId="34" fillId="34" borderId="0" xfId="42" applyFont="1" applyFill="1" applyBorder="1" applyAlignment="1">
      <alignment horizontal="center"/>
    </xf>
    <xf numFmtId="0" fontId="23" fillId="34" borderId="0" xfId="44" applyFont="1" applyFill="1" applyAlignment="1">
      <alignment horizontal="center"/>
    </xf>
    <xf numFmtId="0" fontId="23" fillId="34" borderId="0" xfId="44" applyFont="1" applyFill="1" applyAlignment="1" applyProtection="1"/>
    <xf numFmtId="0" fontId="23" fillId="0" borderId="0" xfId="44" applyFont="1" applyFill="1" applyBorder="1" applyAlignment="1" applyProtection="1">
      <alignment horizontal="center"/>
    </xf>
    <xf numFmtId="0" fontId="34" fillId="34" borderId="0" xfId="44" applyFont="1" applyFill="1" applyAlignment="1"/>
    <xf numFmtId="0" fontId="34" fillId="34" borderId="0" xfId="42" applyFont="1" applyFill="1" applyBorder="1" applyAlignment="1"/>
    <xf numFmtId="0" fontId="23" fillId="34" borderId="0" xfId="44" applyFont="1" applyFill="1" applyAlignment="1"/>
    <xf numFmtId="0" fontId="32" fillId="0" borderId="0" xfId="72" applyFill="1" applyAlignment="1" applyProtection="1">
      <alignment horizontal="left"/>
      <protection locked="0"/>
    </xf>
    <xf numFmtId="0" fontId="28" fillId="0" borderId="0" xfId="42" applyFont="1" applyFill="1" applyAlignment="1" applyProtection="1">
      <alignment horizontal="left" vertical="top" wrapText="1"/>
    </xf>
    <xf numFmtId="0" fontId="28" fillId="0" borderId="0" xfId="72" applyFont="1" applyFill="1" applyAlignment="1" applyProtection="1">
      <alignment horizontal="left" vertical="top" wrapText="1"/>
    </xf>
    <xf numFmtId="1" fontId="27" fillId="38" borderId="14" xfId="42" applyNumberFormat="1" applyFont="1" applyFill="1" applyBorder="1" applyAlignment="1" applyProtection="1">
      <alignment horizontal="center" vertical="center"/>
      <protection locked="0"/>
    </xf>
    <xf numFmtId="1" fontId="27" fillId="38" borderId="13" xfId="42" applyNumberFormat="1" applyFont="1" applyFill="1" applyBorder="1" applyAlignment="1" applyProtection="1">
      <alignment horizontal="center" vertical="center"/>
      <protection locked="0"/>
    </xf>
    <xf numFmtId="168" fontId="27" fillId="38" borderId="14" xfId="78" applyNumberFormat="1" applyFont="1" applyFill="1" applyBorder="1" applyAlignment="1" applyProtection="1">
      <alignment horizontal="center" vertical="center"/>
      <protection locked="0"/>
    </xf>
    <xf numFmtId="168" fontId="27" fillId="38" borderId="13" xfId="78" applyNumberFormat="1" applyFont="1" applyFill="1" applyBorder="1" applyAlignment="1" applyProtection="1">
      <alignment horizontal="center" vertical="center"/>
      <protection locked="0"/>
    </xf>
    <xf numFmtId="0" fontId="27" fillId="38" borderId="14" xfId="42" applyFont="1" applyFill="1" applyBorder="1" applyAlignment="1" applyProtection="1">
      <alignment horizontal="center" vertical="center"/>
      <protection locked="0"/>
    </xf>
    <xf numFmtId="0" fontId="27" fillId="38" borderId="13" xfId="42" applyFont="1" applyFill="1" applyBorder="1" applyAlignment="1" applyProtection="1">
      <alignment horizontal="center" vertical="center"/>
      <protection locked="0"/>
    </xf>
    <xf numFmtId="14" fontId="27" fillId="38" borderId="14" xfId="42" applyNumberFormat="1" applyFont="1" applyFill="1" applyBorder="1" applyAlignment="1" applyProtection="1">
      <alignment horizontal="center" vertical="center"/>
      <protection locked="0"/>
    </xf>
    <xf numFmtId="0" fontId="47" fillId="0" borderId="0" xfId="72" applyFont="1" applyFill="1" applyAlignment="1" applyProtection="1">
      <alignment vertical="top"/>
      <protection locked="0"/>
    </xf>
    <xf numFmtId="0" fontId="24" fillId="37" borderId="14" xfId="42" applyFont="1" applyFill="1" applyBorder="1" applyAlignment="1" applyProtection="1">
      <alignment horizontal="center" vertical="center"/>
    </xf>
    <xf numFmtId="0" fontId="24" fillId="37" borderId="16" xfId="42" applyFont="1" applyFill="1" applyBorder="1" applyAlignment="1" applyProtection="1">
      <alignment horizontal="center" vertical="center"/>
    </xf>
    <xf numFmtId="0" fontId="24" fillId="37" borderId="13" xfId="42" applyFont="1" applyFill="1" applyBorder="1" applyAlignment="1" applyProtection="1">
      <alignment horizontal="center" vertical="center"/>
    </xf>
    <xf numFmtId="0" fontId="24" fillId="37" borderId="14" xfId="73" applyFont="1" applyFill="1" applyBorder="1" applyAlignment="1" applyProtection="1">
      <alignment horizontal="center" vertical="center"/>
    </xf>
    <xf numFmtId="0" fontId="24" fillId="37" borderId="13" xfId="73" applyFont="1" applyFill="1" applyBorder="1" applyAlignment="1" applyProtection="1">
      <alignment horizontal="center" vertical="center"/>
    </xf>
    <xf numFmtId="0" fontId="34" fillId="0" borderId="0" xfId="44" applyFont="1" applyFill="1" applyBorder="1" applyAlignment="1" applyProtection="1">
      <alignment horizontal="center"/>
    </xf>
    <xf numFmtId="0" fontId="34" fillId="0" borderId="0" xfId="42" applyFont="1" applyFill="1" applyBorder="1" applyAlignment="1" applyProtection="1">
      <alignment horizontal="center"/>
    </xf>
    <xf numFmtId="0" fontId="23" fillId="0" borderId="0" xfId="44" applyFont="1" applyFill="1" applyBorder="1" applyAlignment="1" applyProtection="1">
      <alignment horizontal="center"/>
    </xf>
    <xf numFmtId="0" fontId="25" fillId="35" borderId="14" xfId="42" applyFont="1" applyFill="1" applyBorder="1" applyAlignment="1" applyProtection="1">
      <alignment horizontal="center" wrapText="1"/>
    </xf>
    <xf numFmtId="0" fontId="25" fillId="35" borderId="16" xfId="42" applyFont="1" applyFill="1" applyBorder="1" applyAlignment="1" applyProtection="1">
      <alignment horizontal="center"/>
    </xf>
    <xf numFmtId="0" fontId="25" fillId="35" borderId="13" xfId="42" applyFont="1" applyFill="1" applyBorder="1" applyAlignment="1" applyProtection="1">
      <alignment horizontal="center"/>
    </xf>
    <xf numFmtId="0" fontId="27" fillId="37" borderId="11" xfId="42" applyFont="1" applyFill="1" applyBorder="1" applyAlignment="1" applyProtection="1">
      <alignment horizontal="center"/>
    </xf>
    <xf numFmtId="0" fontId="25" fillId="35" borderId="14" xfId="42" applyFont="1" applyFill="1" applyBorder="1" applyAlignment="1" applyProtection="1">
      <alignment horizontal="center"/>
    </xf>
    <xf numFmtId="0" fontId="24" fillId="39" borderId="14" xfId="42" applyFont="1" applyFill="1" applyBorder="1" applyAlignment="1" applyProtection="1">
      <alignment horizontal="right" vertical="center"/>
    </xf>
    <xf numFmtId="0" fontId="24" fillId="39" borderId="13" xfId="42" applyFont="1" applyFill="1" applyBorder="1" applyAlignment="1" applyProtection="1">
      <alignment horizontal="right" vertical="center"/>
    </xf>
    <xf numFmtId="0" fontId="18" fillId="40" borderId="14" xfId="42" applyFill="1" applyBorder="1" applyAlignment="1">
      <alignment horizontal="center"/>
    </xf>
    <xf numFmtId="0" fontId="18" fillId="40" borderId="16" xfId="42" applyFill="1" applyBorder="1" applyAlignment="1">
      <alignment horizontal="center"/>
    </xf>
    <xf numFmtId="0" fontId="18" fillId="40" borderId="13" xfId="42" applyFill="1" applyBorder="1" applyAlignment="1">
      <alignment horizontal="center"/>
    </xf>
    <xf numFmtId="0" fontId="34" fillId="34" borderId="0" xfId="44" applyFont="1" applyFill="1" applyAlignment="1">
      <alignment horizontal="center"/>
    </xf>
    <xf numFmtId="0" fontId="34" fillId="34" borderId="0" xfId="42" applyFont="1" applyFill="1" applyBorder="1" applyAlignment="1">
      <alignment horizontal="center"/>
    </xf>
    <xf numFmtId="0" fontId="23" fillId="34" borderId="0" xfId="44" applyFont="1" applyFill="1" applyAlignment="1">
      <alignment horizontal="center"/>
    </xf>
    <xf numFmtId="0" fontId="24" fillId="37" borderId="20" xfId="42" applyFont="1" applyFill="1" applyBorder="1" applyAlignment="1">
      <alignment horizontal="center" vertical="center" wrapText="1"/>
    </xf>
    <xf numFmtId="0" fontId="24" fillId="37" borderId="21" xfId="42" applyFont="1" applyFill="1" applyBorder="1" applyAlignment="1">
      <alignment horizontal="center" vertical="center" wrapText="1"/>
    </xf>
    <xf numFmtId="0" fontId="24" fillId="37" borderId="24" xfId="42" applyFont="1" applyFill="1" applyBorder="1" applyAlignment="1">
      <alignment horizontal="center" vertical="center" wrapText="1"/>
    </xf>
    <xf numFmtId="0" fontId="24" fillId="37" borderId="25" xfId="42" applyFont="1" applyFill="1" applyBorder="1" applyAlignment="1">
      <alignment horizontal="center" vertical="center" wrapText="1"/>
    </xf>
    <xf numFmtId="0" fontId="24" fillId="37" borderId="22" xfId="42" applyFont="1" applyFill="1" applyBorder="1" applyAlignment="1">
      <alignment horizontal="center" vertical="center" wrapText="1"/>
    </xf>
    <xf numFmtId="0" fontId="24" fillId="37" borderId="23" xfId="42" applyFont="1" applyFill="1" applyBorder="1" applyAlignment="1">
      <alignment horizontal="center" vertical="center" wrapText="1"/>
    </xf>
    <xf numFmtId="1" fontId="34" fillId="39" borderId="17" xfId="65" applyNumberFormat="1" applyFont="1" applyFill="1" applyBorder="1" applyAlignment="1">
      <alignment horizontal="left" vertical="center" wrapText="1"/>
    </xf>
    <xf numFmtId="1" fontId="34" fillId="39" borderId="18" xfId="65" applyNumberFormat="1" applyFont="1" applyFill="1" applyBorder="1" applyAlignment="1">
      <alignment horizontal="left" vertical="center" wrapText="1"/>
    </xf>
    <xf numFmtId="0" fontId="34" fillId="39" borderId="17" xfId="42" applyFont="1" applyFill="1" applyBorder="1" applyAlignment="1">
      <alignment horizontal="center" vertical="center" wrapText="1"/>
    </xf>
    <xf numFmtId="0" fontId="34" fillId="39" borderId="18" xfId="42" applyFont="1" applyFill="1" applyBorder="1" applyAlignment="1">
      <alignment horizontal="center" vertical="center" wrapText="1"/>
    </xf>
    <xf numFmtId="0" fontId="34" fillId="39" borderId="15" xfId="42" applyFont="1" applyFill="1" applyBorder="1" applyAlignment="1">
      <alignment horizontal="center" vertical="center" wrapText="1"/>
    </xf>
    <xf numFmtId="0" fontId="34" fillId="39" borderId="17" xfId="42" applyFont="1" applyFill="1" applyBorder="1" applyAlignment="1">
      <alignment horizontal="center" vertical="center"/>
    </xf>
    <xf numFmtId="0" fontId="34" fillId="39" borderId="18" xfId="42" applyFont="1" applyFill="1" applyBorder="1" applyAlignment="1">
      <alignment horizontal="center" vertical="center"/>
    </xf>
    <xf numFmtId="0" fontId="34" fillId="39" borderId="15" xfId="42" applyFont="1" applyFill="1" applyBorder="1" applyAlignment="1">
      <alignment horizontal="center" vertical="center"/>
    </xf>
    <xf numFmtId="0" fontId="44" fillId="0" borderId="0" xfId="72" applyFont="1" applyFill="1" applyAlignment="1" applyProtection="1">
      <alignment vertical="top"/>
      <protection locked="0"/>
    </xf>
  </cellXfs>
  <cellStyles count="79">
    <cellStyle name="20% - Accent1" xfId="19" builtinId="30" customBuiltin="1"/>
    <cellStyle name="20% - Accent1 2" xfId="53" xr:uid="{00000000-0005-0000-0000-000001000000}"/>
    <cellStyle name="20% - Accent2" xfId="23" builtinId="34" customBuiltin="1"/>
    <cellStyle name="20% - Accent2 2" xfId="55" xr:uid="{00000000-0005-0000-0000-000003000000}"/>
    <cellStyle name="20% - Accent3" xfId="27" builtinId="38" customBuiltin="1"/>
    <cellStyle name="20% - Accent3 2" xfId="57" xr:uid="{00000000-0005-0000-0000-000005000000}"/>
    <cellStyle name="20% - Accent4" xfId="31" builtinId="42" customBuiltin="1"/>
    <cellStyle name="20% - Accent4 2" xfId="59" xr:uid="{00000000-0005-0000-0000-000007000000}"/>
    <cellStyle name="20% - Accent5" xfId="35" builtinId="46" customBuiltin="1"/>
    <cellStyle name="20% - Accent5 2" xfId="61" xr:uid="{00000000-0005-0000-0000-000009000000}"/>
    <cellStyle name="20% - Accent6" xfId="39" builtinId="50" customBuiltin="1"/>
    <cellStyle name="20% - Accent6 2" xfId="63" xr:uid="{00000000-0005-0000-0000-00000B000000}"/>
    <cellStyle name="40% - Accent1" xfId="20" builtinId="31" customBuiltin="1"/>
    <cellStyle name="40% - Accent1 2" xfId="54" xr:uid="{00000000-0005-0000-0000-00000D000000}"/>
    <cellStyle name="40% - Accent2" xfId="24" builtinId="35" customBuiltin="1"/>
    <cellStyle name="40% - Accent2 2" xfId="56" xr:uid="{00000000-0005-0000-0000-00000F000000}"/>
    <cellStyle name="40% - Accent3" xfId="28" builtinId="39" customBuiltin="1"/>
    <cellStyle name="40% - Accent3 2" xfId="58" xr:uid="{00000000-0005-0000-0000-000011000000}"/>
    <cellStyle name="40% - Accent4" xfId="32" builtinId="43" customBuiltin="1"/>
    <cellStyle name="40% - Accent4 2" xfId="60" xr:uid="{00000000-0005-0000-0000-000013000000}"/>
    <cellStyle name="40% - Accent5" xfId="36" builtinId="47" customBuiltin="1"/>
    <cellStyle name="40% - Accent5 2" xfId="62" xr:uid="{00000000-0005-0000-0000-000015000000}"/>
    <cellStyle name="40% - Accent6" xfId="40" builtinId="51" customBuiltin="1"/>
    <cellStyle name="40% - Accent6 2" xfId="64" xr:uid="{00000000-0005-0000-0000-000017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77" builtinId="3"/>
    <cellStyle name="Comma 2" xfId="69" xr:uid="{00000000-0005-0000-0000-000028000000}"/>
    <cellStyle name="Comma 3" xfId="65" xr:uid="{00000000-0005-0000-0000-000029000000}"/>
    <cellStyle name="Currency" xfId="78" builtinId="4"/>
    <cellStyle name="Currency 2" xfId="47" xr:uid="{00000000-0005-0000-0000-00002B000000}"/>
    <cellStyle name="Currency 3" xfId="74" xr:uid="{00000000-0005-0000-0000-00002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72" builtinId="8"/>
    <cellStyle name="Hyperlink 2" xfId="50" xr:uid="{00000000-0005-0000-0000-000034000000}"/>
    <cellStyle name="Input" xfId="9" builtinId="20" customBuiltin="1"/>
    <cellStyle name="Linked Cell" xfId="12" builtinId="24" customBuiltin="1"/>
    <cellStyle name="Neutral" xfId="8" builtinId="28" customBuiltin="1"/>
    <cellStyle name="Normal" xfId="0" builtinId="0"/>
    <cellStyle name="Normal 10" xfId="73" xr:uid="{00000000-0005-0000-0000-000039000000}"/>
    <cellStyle name="Normal 11" xfId="42" xr:uid="{00000000-0005-0000-0000-00003A000000}"/>
    <cellStyle name="Normal 2" xfId="45" xr:uid="{00000000-0005-0000-0000-00003B000000}"/>
    <cellStyle name="Normal 2 2" xfId="48" xr:uid="{00000000-0005-0000-0000-00003C000000}"/>
    <cellStyle name="Normal 2_RTCI_Update_Dec_2011_Complete_Inventory_v3" xfId="49" xr:uid="{00000000-0005-0000-0000-00003D000000}"/>
    <cellStyle name="Normal 3" xfId="44" xr:uid="{00000000-0005-0000-0000-00003E000000}"/>
    <cellStyle name="Normal 4" xfId="51" xr:uid="{00000000-0005-0000-0000-00003F000000}"/>
    <cellStyle name="Normal 5" xfId="66" xr:uid="{00000000-0005-0000-0000-000040000000}"/>
    <cellStyle name="Normal 6" xfId="67" xr:uid="{00000000-0005-0000-0000-000041000000}"/>
    <cellStyle name="Normal 7" xfId="68" xr:uid="{00000000-0005-0000-0000-000042000000}"/>
    <cellStyle name="Normal 8" xfId="70" xr:uid="{00000000-0005-0000-0000-000043000000}"/>
    <cellStyle name="Normal 9" xfId="71" xr:uid="{00000000-0005-0000-0000-000044000000}"/>
    <cellStyle name="Note" xfId="15" builtinId="10" customBuiltin="1"/>
    <cellStyle name="Note 2" xfId="52" xr:uid="{00000000-0005-0000-0000-000046000000}"/>
    <cellStyle name="OBI_ColHeader" xfId="43" xr:uid="{00000000-0005-0000-0000-000047000000}"/>
    <cellStyle name="Output" xfId="10" builtinId="21" customBuiltin="1"/>
    <cellStyle name="Percent" xfId="76" builtinId="5"/>
    <cellStyle name="Percent 2" xfId="46" xr:uid="{00000000-0005-0000-0000-00004A000000}"/>
    <cellStyle name="Percent 3" xfId="75" xr:uid="{00000000-0005-0000-0000-00004B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EBA73D48-F38A-4663-997C-CC2ACAC762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6FE1CE0F-0E16-4117-A575-4B35F00D6F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B877617-3069-45DB-B6D3-64DB7545E1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6C914579-3C08-49A7-8A6C-EF9E1FFC08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8B106FD6-25B3-419D-86A4-9772CB50AB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4EC90E3-E510-4751-8226-26D42BA40D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4</xdr:row>
      <xdr:rowOff>234950</xdr:rowOff>
    </xdr:to>
    <xdr:pic>
      <xdr:nvPicPr>
        <xdr:cNvPr id="3" name="Picture 2">
          <a:extLst>
            <a:ext uri="{FF2B5EF4-FFF2-40B4-BE49-F238E27FC236}">
              <a16:creationId xmlns:a16="http://schemas.microsoft.com/office/drawing/2014/main" id="{32AB06F4-5CAE-471C-B0A4-5C92FC8638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B9B1EDF-7946-4561-BA85-FB4F646EA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C4B0CF3-4BE1-4990-9024-592B0F85D2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22623549-154A-4441-AAD2-85CED78E4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5219793-0D6E-4F2B-9950-AE55DCD62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30E0FA5-1B5E-4885-BB26-CABE257093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C1CA59AE-06A0-4511-99CA-1EB868DE42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5BDCA2A5-31AE-4E3D-A9A9-8F5D6F519C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107950</xdr:rowOff>
    </xdr:to>
    <xdr:pic>
      <xdr:nvPicPr>
        <xdr:cNvPr id="3" name="Picture 2">
          <a:extLst>
            <a:ext uri="{FF2B5EF4-FFF2-40B4-BE49-F238E27FC236}">
              <a16:creationId xmlns:a16="http://schemas.microsoft.com/office/drawing/2014/main" id="{5C0F2C44-6D43-4DA0-8D22-F1B0019BB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wrap="square" lIns="91440" tIns="45720" rIns="91440" bIns="45720">
        <a:spAutoFit/>
      </a:bodyPr>
      <a:lstStyle>
        <a:defPPr algn="ctr">
          <a:defRPr sz="11500" b="1" cap="none" spc="0">
            <a:ln w="12700">
              <a:solidFill>
                <a:sysClr val="windowText" lastClr="000000"/>
              </a:solidFill>
              <a:prstDash val="solid"/>
            </a:ln>
            <a:solidFill>
              <a:schemeClr val="bg1"/>
            </a:solidFill>
            <a:effectLst>
              <a:outerShdw blurRad="41275" dist="20320" dir="1800000" algn="tl" rotWithShape="0">
                <a:srgbClr val="000000">
                  <a:alpha val="40000"/>
                </a:srgbClr>
              </a:outerShdw>
            </a:effectLst>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dfa.ca.gov/oefi/sweep/" TargetMode="External"/><Relationship Id="rId2" Type="http://schemas.openxmlformats.org/officeDocument/2006/relationships/hyperlink" Target="mailto:cdfa.sweeptech@cdfa.ca.gov" TargetMode="External"/><Relationship Id="rId1" Type="http://schemas.openxmlformats.org/officeDocument/2006/relationships/hyperlink" Target="http://www.arb.ca.gov/auctionproceed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deeresources.com/" TargetMode="External"/><Relationship Id="rId3" Type="http://schemas.openxmlformats.org/officeDocument/2006/relationships/hyperlink" Target="https://www.arb.ca.gov/regact/2015/lcfs2015/lcfsfinalregorder.pdf" TargetMode="External"/><Relationship Id="rId7" Type="http://schemas.openxmlformats.org/officeDocument/2006/relationships/hyperlink" Target="https://www.arb.ca.gov/fuels/lcfs/022709lcfs_cng.pdf" TargetMode="External"/><Relationship Id="rId2" Type="http://schemas.openxmlformats.org/officeDocument/2006/relationships/hyperlink" Target="https://www.arb.ca.gov/regact/2015/lcfs2015/lcfsfinalregorder.pdf" TargetMode="External"/><Relationship Id="rId1" Type="http://schemas.openxmlformats.org/officeDocument/2006/relationships/hyperlink" Target="https://www.arb.ca.gov/regact/2015/lcfs2015/lcfsfinalregorder.pdf" TargetMode="External"/><Relationship Id="rId6" Type="http://schemas.openxmlformats.org/officeDocument/2006/relationships/hyperlink" Target="https://www.arb.ca.gov/regact/2015/lcfs2015/lcfsfinalregorder.pdf" TargetMode="External"/><Relationship Id="rId5" Type="http://schemas.openxmlformats.org/officeDocument/2006/relationships/hyperlink" Target="https://www.arb.ca.gov/regact/2015/lcfs2015/lcfsfinalregorder.pdf" TargetMode="External"/><Relationship Id="rId10" Type="http://schemas.openxmlformats.org/officeDocument/2006/relationships/drawing" Target="../drawings/drawing14.xml"/><Relationship Id="rId4" Type="http://schemas.openxmlformats.org/officeDocument/2006/relationships/hyperlink" Target="https://www.arb.ca.gov/regact/2015/lcfs2015/lcfsfinalregorder.pdf" TargetMode="External"/><Relationship Id="rId9"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43"/>
  <sheetViews>
    <sheetView showGridLines="0" tabSelected="1" zoomScaleNormal="100" workbookViewId="0">
      <selection activeCell="B33" sqref="B33:C33"/>
    </sheetView>
  </sheetViews>
  <sheetFormatPr defaultColWidth="9.1796875" defaultRowHeight="14.5" x14ac:dyDescent="0.35"/>
  <cols>
    <col min="1" max="1" width="41.81640625" style="103" customWidth="1"/>
    <col min="2" max="2" width="24.1796875" style="103" customWidth="1"/>
    <col min="3" max="3" width="36.453125" style="103" customWidth="1"/>
    <col min="4" max="7" width="20.81640625" style="103" customWidth="1"/>
    <col min="8" max="8" width="29.453125" style="103" customWidth="1"/>
    <col min="9" max="16384" width="9.1796875" style="103"/>
  </cols>
  <sheetData>
    <row r="1" spans="1:8" ht="17.5" x14ac:dyDescent="0.35">
      <c r="A1" s="101"/>
      <c r="B1" s="101"/>
      <c r="C1" s="101"/>
      <c r="D1" s="102" t="s">
        <v>184</v>
      </c>
      <c r="E1" s="101"/>
      <c r="F1" s="101"/>
      <c r="G1" s="101"/>
      <c r="H1" s="101"/>
    </row>
    <row r="2" spans="1:8" ht="17.5" x14ac:dyDescent="0.35">
      <c r="A2" s="101"/>
      <c r="B2" s="101"/>
      <c r="C2" s="101"/>
      <c r="D2" s="104" t="s">
        <v>192</v>
      </c>
      <c r="E2" s="101"/>
      <c r="F2" s="101"/>
      <c r="G2" s="101"/>
      <c r="H2" s="101"/>
    </row>
    <row r="3" spans="1:8" ht="17.5" x14ac:dyDescent="0.35">
      <c r="A3" s="101"/>
      <c r="B3" s="101"/>
      <c r="C3" s="101"/>
      <c r="D3" s="104" t="s">
        <v>185</v>
      </c>
      <c r="E3" s="101"/>
      <c r="F3" s="101"/>
      <c r="G3" s="101"/>
      <c r="H3" s="101"/>
    </row>
    <row r="4" spans="1:8" ht="17.5" x14ac:dyDescent="0.35">
      <c r="A4" s="101"/>
      <c r="B4" s="101"/>
      <c r="C4" s="101"/>
      <c r="D4" s="105" t="s">
        <v>186</v>
      </c>
      <c r="E4" s="101"/>
      <c r="F4" s="101"/>
      <c r="G4" s="101"/>
      <c r="H4" s="101"/>
    </row>
    <row r="5" spans="1:8" ht="17.5" x14ac:dyDescent="0.35">
      <c r="A5" s="101"/>
      <c r="B5" s="101"/>
      <c r="C5" s="101"/>
      <c r="D5" s="105"/>
      <c r="E5" s="101"/>
      <c r="F5" s="101"/>
      <c r="G5" s="101"/>
      <c r="H5" s="101"/>
    </row>
    <row r="6" spans="1:8" ht="17.5" x14ac:dyDescent="0.35">
      <c r="A6" s="101"/>
      <c r="B6" s="101"/>
      <c r="C6" s="101"/>
      <c r="D6" s="105"/>
      <c r="E6" s="101"/>
      <c r="F6" s="101"/>
      <c r="G6" s="101"/>
      <c r="H6" s="101"/>
    </row>
    <row r="7" spans="1:8" ht="17.5" x14ac:dyDescent="0.35">
      <c r="A7" s="101"/>
      <c r="B7" s="101"/>
      <c r="C7" s="101"/>
      <c r="D7" s="105"/>
      <c r="E7" s="101"/>
      <c r="F7" s="101"/>
      <c r="G7" s="101"/>
      <c r="H7" s="101"/>
    </row>
    <row r="8" spans="1:8" x14ac:dyDescent="0.35">
      <c r="A8" s="106"/>
      <c r="B8" s="106"/>
      <c r="C8" s="106"/>
      <c r="D8" s="106"/>
      <c r="E8" s="106"/>
      <c r="F8" s="106"/>
      <c r="G8" s="106"/>
      <c r="H8" s="106"/>
    </row>
    <row r="9" spans="1:8" x14ac:dyDescent="0.35">
      <c r="A9" s="106"/>
      <c r="B9" s="106"/>
      <c r="C9" s="106"/>
      <c r="D9" s="106"/>
      <c r="E9" s="106"/>
      <c r="F9" s="106"/>
      <c r="G9" s="106"/>
      <c r="H9" s="106"/>
    </row>
    <row r="10" spans="1:8" x14ac:dyDescent="0.35">
      <c r="A10" s="162" t="s">
        <v>0</v>
      </c>
      <c r="B10" s="162"/>
      <c r="C10" s="162"/>
      <c r="D10" s="162"/>
      <c r="E10" s="162"/>
      <c r="F10" s="162"/>
      <c r="G10" s="162"/>
      <c r="H10" s="162"/>
    </row>
    <row r="11" spans="1:8" x14ac:dyDescent="0.35">
      <c r="A11" s="162"/>
      <c r="B11" s="162"/>
      <c r="C11" s="162"/>
      <c r="D11" s="162"/>
      <c r="E11" s="162"/>
      <c r="F11" s="162"/>
      <c r="G11" s="162"/>
      <c r="H11" s="162"/>
    </row>
    <row r="12" spans="1:8" ht="15.5" x14ac:dyDescent="0.35">
      <c r="A12" s="107"/>
      <c r="B12" s="107"/>
      <c r="C12" s="107"/>
      <c r="D12" s="107"/>
      <c r="E12" s="107"/>
      <c r="F12" s="107"/>
      <c r="G12" s="107"/>
      <c r="H12" s="108"/>
    </row>
    <row r="13" spans="1:8" ht="15.75" customHeight="1" x14ac:dyDescent="0.35">
      <c r="A13" s="162" t="s">
        <v>189</v>
      </c>
      <c r="B13" s="162"/>
      <c r="C13" s="162"/>
      <c r="D13" s="162"/>
      <c r="E13" s="162"/>
      <c r="F13" s="162"/>
      <c r="G13" s="162"/>
      <c r="H13" s="162"/>
    </row>
    <row r="14" spans="1:8" ht="15.75" customHeight="1" x14ac:dyDescent="0.35">
      <c r="A14" s="207" t="s">
        <v>200</v>
      </c>
      <c r="B14" s="171"/>
      <c r="C14" s="171"/>
      <c r="D14" s="171"/>
      <c r="E14" s="171"/>
      <c r="F14" s="109"/>
      <c r="G14" s="109"/>
      <c r="H14" s="109"/>
    </row>
    <row r="15" spans="1:8" ht="15.75" customHeight="1" x14ac:dyDescent="0.35">
      <c r="A15" s="110"/>
      <c r="B15" s="110"/>
      <c r="C15" s="110"/>
      <c r="D15" s="110"/>
      <c r="E15" s="110"/>
      <c r="F15" s="109"/>
      <c r="G15" s="109"/>
      <c r="H15" s="109"/>
    </row>
    <row r="16" spans="1:8" ht="33" customHeight="1" x14ac:dyDescent="0.35">
      <c r="A16" s="163" t="s">
        <v>199</v>
      </c>
      <c r="B16" s="163"/>
      <c r="C16" s="163"/>
      <c r="D16" s="163"/>
      <c r="E16" s="163"/>
      <c r="F16" s="163"/>
      <c r="G16" s="163"/>
      <c r="H16" s="163"/>
    </row>
    <row r="17" spans="1:8" ht="15.5" x14ac:dyDescent="0.35">
      <c r="A17" s="111"/>
      <c r="B17" s="111"/>
      <c r="C17" s="111"/>
      <c r="D17" s="111"/>
      <c r="E17" s="111"/>
      <c r="F17" s="109"/>
      <c r="G17" s="109"/>
      <c r="H17" s="109"/>
    </row>
    <row r="18" spans="1:8" ht="37.5" customHeight="1" x14ac:dyDescent="0.35">
      <c r="A18" s="162" t="s">
        <v>135</v>
      </c>
      <c r="B18" s="162"/>
      <c r="C18" s="162"/>
      <c r="D18" s="162"/>
      <c r="E18" s="162"/>
      <c r="F18" s="162"/>
      <c r="G18" s="162"/>
      <c r="H18" s="162"/>
    </row>
    <row r="19" spans="1:8" ht="15.5" x14ac:dyDescent="0.35">
      <c r="A19" s="112"/>
      <c r="B19" s="113"/>
      <c r="C19" s="113"/>
      <c r="D19" s="113"/>
      <c r="E19" s="113"/>
      <c r="F19" s="113"/>
      <c r="G19" s="113"/>
      <c r="H19" s="113"/>
    </row>
    <row r="20" spans="1:8" ht="35.15" customHeight="1" x14ac:dyDescent="0.35">
      <c r="A20" s="162" t="s">
        <v>190</v>
      </c>
      <c r="B20" s="162"/>
      <c r="C20" s="162"/>
      <c r="D20" s="162"/>
      <c r="E20" s="162"/>
      <c r="F20" s="162"/>
      <c r="G20" s="162"/>
      <c r="H20" s="162"/>
    </row>
    <row r="21" spans="1:8" ht="35.15" customHeight="1" x14ac:dyDescent="0.35">
      <c r="A21" s="162"/>
      <c r="B21" s="162"/>
      <c r="C21" s="162"/>
      <c r="D21" s="162"/>
      <c r="E21" s="162"/>
      <c r="F21" s="162"/>
      <c r="G21" s="162"/>
      <c r="H21" s="162"/>
    </row>
    <row r="22" spans="1:8" ht="29.25" customHeight="1" x14ac:dyDescent="0.35">
      <c r="A22" s="162"/>
      <c r="B22" s="162"/>
      <c r="C22" s="162"/>
      <c r="D22" s="162"/>
      <c r="E22" s="162"/>
      <c r="F22" s="162"/>
      <c r="G22" s="162"/>
      <c r="H22" s="162"/>
    </row>
    <row r="23" spans="1:8" ht="16.5" customHeight="1" x14ac:dyDescent="0.35">
      <c r="A23" s="162"/>
      <c r="B23" s="162"/>
      <c r="C23" s="162"/>
      <c r="D23" s="162"/>
      <c r="E23" s="162"/>
      <c r="F23" s="162"/>
      <c r="G23" s="162"/>
      <c r="H23" s="162"/>
    </row>
    <row r="24" spans="1:8" ht="15.5" x14ac:dyDescent="0.35">
      <c r="A24" s="112"/>
      <c r="B24" s="113"/>
      <c r="C24" s="113"/>
      <c r="D24" s="113"/>
      <c r="E24" s="113"/>
      <c r="F24" s="113"/>
      <c r="G24" s="113"/>
      <c r="H24" s="113"/>
    </row>
    <row r="25" spans="1:8" ht="46.5" customHeight="1" x14ac:dyDescent="0.35">
      <c r="A25" s="162" t="s">
        <v>130</v>
      </c>
      <c r="B25" s="162"/>
      <c r="C25" s="162"/>
      <c r="D25" s="162"/>
      <c r="E25" s="162"/>
      <c r="F25" s="162"/>
      <c r="G25" s="162"/>
      <c r="H25" s="162"/>
    </row>
    <row r="26" spans="1:8" ht="15.5" x14ac:dyDescent="0.35">
      <c r="A26" s="114" t="s">
        <v>1</v>
      </c>
      <c r="B26" s="168"/>
      <c r="C26" s="169"/>
      <c r="D26" s="107"/>
      <c r="E26" s="107"/>
      <c r="F26" s="107"/>
      <c r="G26" s="107"/>
      <c r="H26" s="107"/>
    </row>
    <row r="27" spans="1:8" ht="15.5" x14ac:dyDescent="0.35">
      <c r="A27" s="114" t="s">
        <v>195</v>
      </c>
      <c r="B27" s="168"/>
      <c r="C27" s="169"/>
      <c r="D27" s="107"/>
      <c r="E27" s="107"/>
      <c r="F27" s="107"/>
      <c r="G27" s="107"/>
      <c r="H27" s="107"/>
    </row>
    <row r="28" spans="1:8" ht="15.5" x14ac:dyDescent="0.35">
      <c r="A28" s="114" t="s">
        <v>2</v>
      </c>
      <c r="B28" s="168"/>
      <c r="C28" s="169"/>
      <c r="D28" s="107"/>
      <c r="E28" s="107"/>
      <c r="F28" s="107"/>
      <c r="G28" s="107"/>
      <c r="H28" s="107"/>
    </row>
    <row r="29" spans="1:8" ht="15.5" x14ac:dyDescent="0.35">
      <c r="A29" s="114" t="s">
        <v>3</v>
      </c>
      <c r="B29" s="168"/>
      <c r="C29" s="169"/>
      <c r="D29" s="107"/>
      <c r="E29" s="107"/>
      <c r="F29" s="107"/>
      <c r="G29" s="107"/>
      <c r="H29" s="107"/>
    </row>
    <row r="30" spans="1:8" ht="15.5" x14ac:dyDescent="0.35">
      <c r="A30" s="114" t="s">
        <v>4</v>
      </c>
      <c r="B30" s="170"/>
      <c r="C30" s="169"/>
      <c r="D30" s="107"/>
      <c r="E30" s="107"/>
      <c r="F30" s="107"/>
      <c r="G30" s="107"/>
      <c r="H30" s="107"/>
    </row>
    <row r="31" spans="1:8" ht="15.5" x14ac:dyDescent="0.35">
      <c r="A31" s="114" t="s">
        <v>5</v>
      </c>
      <c r="B31" s="170"/>
      <c r="C31" s="169"/>
      <c r="D31" s="107"/>
      <c r="E31" s="107"/>
      <c r="F31" s="107"/>
      <c r="G31" s="107"/>
      <c r="H31" s="107"/>
    </row>
    <row r="32" spans="1:8" ht="15.5" x14ac:dyDescent="0.35">
      <c r="A32" s="114" t="s">
        <v>181</v>
      </c>
      <c r="B32" s="164"/>
      <c r="C32" s="165"/>
      <c r="D32" s="107"/>
      <c r="E32" s="107"/>
      <c r="F32" s="107"/>
      <c r="G32" s="107"/>
      <c r="H32" s="107"/>
    </row>
    <row r="33" spans="1:8" ht="15.5" x14ac:dyDescent="0.35">
      <c r="A33" s="114" t="s">
        <v>191</v>
      </c>
      <c r="B33" s="166"/>
      <c r="C33" s="167"/>
      <c r="D33" s="107"/>
      <c r="E33" s="107"/>
      <c r="F33" s="107"/>
      <c r="G33" s="107"/>
      <c r="H33" s="107"/>
    </row>
    <row r="34" spans="1:8" ht="15.5" x14ac:dyDescent="0.35">
      <c r="A34" s="107"/>
      <c r="B34" s="107"/>
      <c r="C34" s="107"/>
      <c r="D34" s="101"/>
      <c r="E34" s="107"/>
      <c r="F34" s="113"/>
      <c r="G34" s="113"/>
      <c r="H34" s="113"/>
    </row>
    <row r="35" spans="1:8" ht="68.25" customHeight="1" x14ac:dyDescent="0.35">
      <c r="A35" s="162" t="s">
        <v>196</v>
      </c>
      <c r="B35" s="162"/>
      <c r="C35" s="162"/>
      <c r="D35" s="162"/>
      <c r="E35" s="162"/>
      <c r="F35" s="162"/>
      <c r="G35" s="162"/>
      <c r="H35" s="162"/>
    </row>
    <row r="36" spans="1:8" ht="39.75" customHeight="1" x14ac:dyDescent="0.35">
      <c r="A36" s="162" t="s">
        <v>136</v>
      </c>
      <c r="B36" s="162"/>
      <c r="C36" s="162"/>
      <c r="D36" s="162"/>
      <c r="E36" s="162"/>
      <c r="F36" s="162"/>
      <c r="G36" s="162"/>
      <c r="H36" s="162"/>
    </row>
    <row r="37" spans="1:8" ht="15.5" x14ac:dyDescent="0.35">
      <c r="A37" s="162" t="s">
        <v>6</v>
      </c>
      <c r="B37" s="162"/>
      <c r="C37" s="162"/>
      <c r="D37" s="162"/>
      <c r="E37" s="162"/>
      <c r="F37" s="162"/>
      <c r="G37" s="162"/>
      <c r="H37" s="107"/>
    </row>
    <row r="38" spans="1:8" ht="15.5" x14ac:dyDescent="0.35">
      <c r="A38" s="107"/>
      <c r="B38" s="107"/>
      <c r="C38" s="107"/>
      <c r="D38" s="107"/>
      <c r="E38" s="107"/>
      <c r="F38" s="107"/>
      <c r="G38" s="107"/>
      <c r="H38" s="107"/>
    </row>
    <row r="39" spans="1:8" ht="15.5" x14ac:dyDescent="0.35">
      <c r="A39" s="113" t="s">
        <v>7</v>
      </c>
      <c r="B39" s="113"/>
      <c r="C39" s="101"/>
      <c r="D39" s="63" t="s">
        <v>8</v>
      </c>
      <c r="E39" s="101"/>
      <c r="F39" s="115"/>
      <c r="G39" s="116"/>
      <c r="H39" s="101"/>
    </row>
    <row r="40" spans="1:8" ht="15.5" x14ac:dyDescent="0.35">
      <c r="A40" s="115"/>
      <c r="B40" s="113"/>
      <c r="C40" s="63"/>
      <c r="D40" s="101"/>
      <c r="E40" s="101"/>
      <c r="F40" s="115"/>
      <c r="G40" s="116"/>
      <c r="H40" s="101"/>
    </row>
    <row r="41" spans="1:8" ht="15.5" x14ac:dyDescent="0.35">
      <c r="A41" s="113" t="s">
        <v>9</v>
      </c>
      <c r="B41" s="113"/>
      <c r="C41" s="161" t="s">
        <v>198</v>
      </c>
      <c r="D41" s="101"/>
      <c r="E41" s="101"/>
      <c r="F41" s="115"/>
      <c r="G41" s="116"/>
      <c r="H41" s="101"/>
    </row>
    <row r="43" spans="1:8" x14ac:dyDescent="0.35">
      <c r="A43" s="6"/>
      <c r="B43" s="6"/>
      <c r="C43" s="6"/>
      <c r="D43" s="6"/>
      <c r="E43" s="6"/>
      <c r="F43" s="6"/>
      <c r="G43" s="6"/>
      <c r="H43" s="6"/>
    </row>
  </sheetData>
  <sheetProtection algorithmName="SHA-512" hashValue="rp2goXWOuAhJvNpusszvW4EYgUeyq3sRfKHvLO08J0G9d+33jnIckkL4gQpa3sh6BMbojjQ0RLUNWJk/JuQX8A==" saltValue="5gdzWHcbIoSRkQ8gGu45hw==" spinCount="100000" sheet="1" objects="1" scenarios="1"/>
  <mergeCells count="18">
    <mergeCell ref="A10:H11"/>
    <mergeCell ref="A13:H13"/>
    <mergeCell ref="A18:H18"/>
    <mergeCell ref="A25:H25"/>
    <mergeCell ref="A20:H23"/>
    <mergeCell ref="A14:E14"/>
    <mergeCell ref="A36:H36"/>
    <mergeCell ref="A16:H16"/>
    <mergeCell ref="B32:C32"/>
    <mergeCell ref="B33:C33"/>
    <mergeCell ref="A37:G37"/>
    <mergeCell ref="A35:H35"/>
    <mergeCell ref="B26:C26"/>
    <mergeCell ref="B27:C27"/>
    <mergeCell ref="B28:C28"/>
    <mergeCell ref="B31:C31"/>
    <mergeCell ref="B29:C29"/>
    <mergeCell ref="B30:C30"/>
  </mergeCells>
  <hyperlinks>
    <hyperlink ref="D39" r:id="rId1" xr:uid="{00000000-0004-0000-0000-000000000000}"/>
    <hyperlink ref="C41" r:id="rId2" xr:uid="{00000000-0004-0000-0000-000002000000}"/>
    <hyperlink ref="A14" r:id="rId3" xr:uid="{00000000-0004-0000-0000-000003000000}"/>
  </hyperlinks>
  <pageMargins left="0.52239583333333328" right="0.7" top="0.75" bottom="0.75" header="0.3" footer="0.3"/>
  <pageSetup scale="58" fitToHeight="0" orientation="landscape" r:id="rId4"/>
  <headerFooter>
    <oddFooter>&amp;LJanuary 11, 2017&amp;CPage &amp;P of &amp;[6&amp;RRead Me Tab</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8"/>
  <sheetViews>
    <sheetView showGridLines="0" zoomScaleNormal="100" workbookViewId="0">
      <selection activeCell="C44" sqref="C44"/>
    </sheetView>
  </sheetViews>
  <sheetFormatPr defaultRowHeight="14.5" x14ac:dyDescent="0.35"/>
  <cols>
    <col min="1" max="1" width="22.1796875" customWidth="1"/>
    <col min="2" max="2" width="96.453125" customWidth="1"/>
    <col min="3" max="3" width="39.81640625" customWidth="1"/>
  </cols>
  <sheetData>
    <row r="1" spans="1:3" ht="17.5" x14ac:dyDescent="0.35">
      <c r="A1" s="1"/>
      <c r="B1" s="190" t="s">
        <v>184</v>
      </c>
      <c r="C1" s="190"/>
    </row>
    <row r="2" spans="1:3" ht="17.5" x14ac:dyDescent="0.35">
      <c r="A2" s="1"/>
      <c r="B2" s="191" t="s">
        <v>192</v>
      </c>
      <c r="C2" s="191"/>
    </row>
    <row r="3" spans="1:3" ht="17.5" x14ac:dyDescent="0.35">
      <c r="A3" s="1"/>
      <c r="B3" s="191" t="s">
        <v>185</v>
      </c>
      <c r="C3" s="191"/>
    </row>
    <row r="4" spans="1:3" ht="17.5" x14ac:dyDescent="0.35">
      <c r="A4" s="1"/>
      <c r="B4" s="192" t="s">
        <v>186</v>
      </c>
      <c r="C4" s="192"/>
    </row>
    <row r="5" spans="1:3" ht="17.5" x14ac:dyDescent="0.35">
      <c r="A5" s="1"/>
      <c r="B5" s="192"/>
      <c r="C5" s="192"/>
    </row>
    <row r="6" spans="1:3" ht="17.5" x14ac:dyDescent="0.35">
      <c r="A6" s="1"/>
      <c r="B6" s="192"/>
      <c r="C6" s="192"/>
    </row>
    <row r="7" spans="1:3" ht="15.5" x14ac:dyDescent="0.35">
      <c r="A7" s="1"/>
      <c r="B7" s="1"/>
      <c r="C7" s="37"/>
    </row>
    <row r="8" spans="1:3" x14ac:dyDescent="0.35">
      <c r="A8" s="1"/>
      <c r="B8" s="1"/>
      <c r="C8" s="1"/>
    </row>
    <row r="9" spans="1:3" x14ac:dyDescent="0.35">
      <c r="A9" s="2"/>
      <c r="B9" s="2"/>
      <c r="C9" s="2"/>
    </row>
    <row r="10" spans="1:3" x14ac:dyDescent="0.35">
      <c r="A10" s="2"/>
      <c r="B10" s="2"/>
      <c r="C10" s="2"/>
    </row>
    <row r="11" spans="1:3" ht="15.5" x14ac:dyDescent="0.35">
      <c r="A11" s="7"/>
      <c r="B11" s="7"/>
      <c r="C11" s="7"/>
    </row>
    <row r="12" spans="1:3" ht="15.5" x14ac:dyDescent="0.35">
      <c r="A12" s="8" t="s">
        <v>42</v>
      </c>
      <c r="B12" s="8" t="s">
        <v>43</v>
      </c>
      <c r="C12" s="8" t="s">
        <v>44</v>
      </c>
    </row>
    <row r="13" spans="1:3" ht="15.5" x14ac:dyDescent="0.35">
      <c r="A13" s="33" t="s">
        <v>45</v>
      </c>
      <c r="B13" s="57" t="s">
        <v>118</v>
      </c>
      <c r="C13" s="58">
        <f>IF('Inputs - 2'!B22="User may override system pressure if known.",'Inputs - 2'!B23+'Inputs - 2'!B24+'Inputs - 2'!B25,'Inputs - 2'!B22)</f>
        <v>0</v>
      </c>
    </row>
    <row r="14" spans="1:3" ht="15.5" x14ac:dyDescent="0.35">
      <c r="A14" s="33" t="s">
        <v>46</v>
      </c>
      <c r="B14" s="57" t="s">
        <v>119</v>
      </c>
      <c r="C14" s="58">
        <f>IF('Inputs - 2'!C22="User may override system pressure if known.",'Inputs - 2'!C23+'Inputs - 2'!C24+'Inputs - 2'!C25,'Inputs - 2'!C22)</f>
        <v>0</v>
      </c>
    </row>
    <row r="15" spans="1:3" ht="15.5" x14ac:dyDescent="0.35">
      <c r="A15" s="33" t="s">
        <v>47</v>
      </c>
      <c r="B15" s="57" t="s">
        <v>120</v>
      </c>
      <c r="C15" s="58" t="e">
        <f>IF('Inputs - 2'!B15="Electricity", 0, 'Inputs - 2'!B14*'Inputs - 2'!B16)</f>
        <v>#N/A</v>
      </c>
    </row>
    <row r="16" spans="1:3" ht="15.5" x14ac:dyDescent="0.35">
      <c r="A16" s="33" t="s">
        <v>48</v>
      </c>
      <c r="B16" s="57" t="s">
        <v>121</v>
      </c>
      <c r="C16" s="58">
        <f>IF('Inputs - 2'!B15="Electricity", 'Inputs - 2'!B14*'Inputs - 2'!B16, 0)</f>
        <v>0</v>
      </c>
    </row>
    <row r="17" spans="1:3" ht="15.5" x14ac:dyDescent="0.35">
      <c r="A17" s="33" t="s">
        <v>150</v>
      </c>
      <c r="B17" s="57" t="s">
        <v>122</v>
      </c>
      <c r="C17" s="34">
        <f>'Inputs - 2'!B19*'Inputs - 2'!B20*0.746*Defaults!B15*'Inputs - 2'!B21</f>
        <v>0</v>
      </c>
    </row>
    <row r="18" spans="1:3" ht="15.5" x14ac:dyDescent="0.35">
      <c r="A18" s="33" t="s">
        <v>151</v>
      </c>
      <c r="B18" s="57" t="s">
        <v>123</v>
      </c>
      <c r="C18" s="34" t="e">
        <f>IF('Inputs - 2'!B15="Electricity",MAX(C17,C16), C15)</f>
        <v>#N/A</v>
      </c>
    </row>
    <row r="19" spans="1:3" ht="15.5" x14ac:dyDescent="0.35">
      <c r="A19" s="33" t="s">
        <v>49</v>
      </c>
      <c r="B19" s="57" t="s">
        <v>52</v>
      </c>
      <c r="C19" s="34" t="e">
        <f>(1-(('Inputs - 2'!C29)))*(C14/C13)*('Inputs - 2'!B21/'Inputs - 2'!C21)*C18</f>
        <v>#DIV/0!</v>
      </c>
    </row>
    <row r="20" spans="1:3" ht="15.5" x14ac:dyDescent="0.35">
      <c r="A20" s="33" t="s">
        <v>50</v>
      </c>
      <c r="B20" s="57" t="s">
        <v>133</v>
      </c>
      <c r="C20" s="34">
        <f>IF('Inputs - 2'!B15='Inputs - 2'!C33,0,C19*'Inputs - 2'!C36)</f>
        <v>0</v>
      </c>
    </row>
    <row r="21" spans="1:3" ht="15.5" x14ac:dyDescent="0.35">
      <c r="A21" s="33" t="s">
        <v>51</v>
      </c>
      <c r="B21" s="57" t="s">
        <v>53</v>
      </c>
      <c r="C21" s="34" t="e">
        <f>IF(C20=0, C19, C20)</f>
        <v>#DIV/0!</v>
      </c>
    </row>
    <row r="22" spans="1:3" ht="15.5" x14ac:dyDescent="0.35">
      <c r="A22" s="33" t="s">
        <v>183</v>
      </c>
      <c r="B22" s="57" t="s">
        <v>54</v>
      </c>
      <c r="C22" s="34">
        <f>(IF('Inputs - 2'!C26="VFD Booster Pump", Defaults!G14, IF('Inputs - 2'!C26="VFD Well Pump", Defaults!G15, 0)))*0.97</f>
        <v>0</v>
      </c>
    </row>
    <row r="23" spans="1:3" ht="15.5" x14ac:dyDescent="0.35">
      <c r="A23" s="33" t="s">
        <v>155</v>
      </c>
      <c r="B23" s="57" t="s">
        <v>55</v>
      </c>
      <c r="C23" s="34">
        <f>IF(C14=C13, C22*'Inputs - 2'!C19*Defaults!B15, C22*'Inputs - 2'!C19*Defaults!B15*(1-('Inputs - 2'!C29))*((1-(C13-C14)/(C13))))</f>
        <v>0</v>
      </c>
    </row>
    <row r="24" spans="1:3" ht="15.5" x14ac:dyDescent="0.35">
      <c r="A24" s="33" t="s">
        <v>152</v>
      </c>
      <c r="B24" s="57" t="s">
        <v>57</v>
      </c>
      <c r="C24" s="34">
        <f>'Inputs - 2'!C32*8766*0.18* Defaults!B15</f>
        <v>0</v>
      </c>
    </row>
    <row r="25" spans="1:3" ht="15.5" x14ac:dyDescent="0.35">
      <c r="A25" s="33" t="s">
        <v>56</v>
      </c>
      <c r="B25" s="57" t="s">
        <v>125</v>
      </c>
      <c r="C25" s="34" t="e">
        <f>C18-C21+C23+C24</f>
        <v>#N/A</v>
      </c>
    </row>
    <row r="26" spans="1:3" x14ac:dyDescent="0.35">
      <c r="A26" s="187"/>
      <c r="B26" s="188"/>
      <c r="C26" s="189"/>
    </row>
    <row r="27" spans="1:3" ht="15" x14ac:dyDescent="0.35">
      <c r="A27" s="185" t="s">
        <v>58</v>
      </c>
      <c r="B27" s="186"/>
      <c r="C27" s="39">
        <f>IFERROR(C25,0)</f>
        <v>0</v>
      </c>
    </row>
    <row r="28" spans="1:3" x14ac:dyDescent="0.35">
      <c r="A28" s="2"/>
      <c r="B28" s="2"/>
      <c r="C28" s="2"/>
    </row>
  </sheetData>
  <sheetProtection algorithmName="SHA-512" hashValue="YCyj30G58Hc4AGULfno8XNbhxLwxKBj/MggY3t+Y4FcYLFqVNcEn1eX48my1pluzf2tICPqUXVGLRP6R8lMksw==" saltValue="4AQBzCkG/9jAIezIFxj+Yw==" spinCount="100000" sheet="1" objects="1" scenarios="1"/>
  <mergeCells count="8">
    <mergeCell ref="A26:C26"/>
    <mergeCell ref="A27:B27"/>
    <mergeCell ref="B1:C1"/>
    <mergeCell ref="B2:C2"/>
    <mergeCell ref="B3:C3"/>
    <mergeCell ref="B4:C4"/>
    <mergeCell ref="B5:C5"/>
    <mergeCell ref="B6:C6"/>
  </mergeCells>
  <pageMargins left="0.7" right="0.7" top="0.75" bottom="0.75" header="0.3" footer="0.3"/>
  <pageSetup scale="73" orientation="landscape" r:id="rId1"/>
  <headerFooter>
    <oddFooter>&amp;LJanuary 11, 2017&amp;CPage 4 (b) of 6&amp;RGHG Calculations Tab</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8"/>
  <sheetViews>
    <sheetView showGridLines="0" zoomScaleNormal="100" workbookViewId="0"/>
  </sheetViews>
  <sheetFormatPr defaultRowHeight="14.5" x14ac:dyDescent="0.35"/>
  <cols>
    <col min="1" max="1" width="37.453125" customWidth="1"/>
    <col min="2" max="2" width="77" customWidth="1"/>
    <col min="3" max="3" width="41" customWidth="1"/>
  </cols>
  <sheetData>
    <row r="1" spans="1:3" ht="17.5" x14ac:dyDescent="0.35">
      <c r="A1" s="1"/>
      <c r="B1" s="153" t="s">
        <v>184</v>
      </c>
      <c r="C1" s="153"/>
    </row>
    <row r="2" spans="1:3" ht="17.5" x14ac:dyDescent="0.35">
      <c r="A2" s="1"/>
      <c r="B2" s="154" t="s">
        <v>192</v>
      </c>
      <c r="C2" s="154"/>
    </row>
    <row r="3" spans="1:3" ht="17.5" x14ac:dyDescent="0.35">
      <c r="A3" s="1"/>
      <c r="B3" s="154" t="s">
        <v>185</v>
      </c>
      <c r="C3" s="154"/>
    </row>
    <row r="4" spans="1:3" ht="17.5" x14ac:dyDescent="0.35">
      <c r="A4" s="1"/>
      <c r="B4" s="155" t="s">
        <v>186</v>
      </c>
      <c r="C4" s="155"/>
    </row>
    <row r="5" spans="1:3" ht="17.5" x14ac:dyDescent="0.35">
      <c r="A5" s="1"/>
      <c r="B5" s="192"/>
      <c r="C5" s="192"/>
    </row>
    <row r="6" spans="1:3" ht="17.5" x14ac:dyDescent="0.35">
      <c r="A6" s="1"/>
      <c r="B6" s="192"/>
      <c r="C6" s="192"/>
    </row>
    <row r="7" spans="1:3" ht="15.5" x14ac:dyDescent="0.35">
      <c r="A7" s="1"/>
      <c r="B7" s="1"/>
      <c r="C7" s="37"/>
    </row>
    <row r="8" spans="1:3" x14ac:dyDescent="0.35">
      <c r="A8" s="1"/>
      <c r="B8" s="1"/>
      <c r="C8" s="1"/>
    </row>
    <row r="9" spans="1:3" x14ac:dyDescent="0.35">
      <c r="A9" s="2"/>
      <c r="B9" s="2"/>
      <c r="C9" s="2"/>
    </row>
    <row r="10" spans="1:3" x14ac:dyDescent="0.35">
      <c r="A10" s="2"/>
      <c r="B10" s="2"/>
      <c r="C10" s="2"/>
    </row>
    <row r="11" spans="1:3" ht="15.5" x14ac:dyDescent="0.35">
      <c r="A11" s="7"/>
      <c r="B11" s="7"/>
      <c r="C11" s="7"/>
    </row>
    <row r="12" spans="1:3" ht="15.5" x14ac:dyDescent="0.35">
      <c r="A12" s="8" t="s">
        <v>42</v>
      </c>
      <c r="B12" s="8" t="s">
        <v>43</v>
      </c>
      <c r="C12" s="8" t="s">
        <v>44</v>
      </c>
    </row>
    <row r="13" spans="1:3" ht="15.5" x14ac:dyDescent="0.35">
      <c r="A13" s="33" t="s">
        <v>45</v>
      </c>
      <c r="B13" s="57" t="s">
        <v>118</v>
      </c>
      <c r="C13" s="58">
        <f>IF('Inputs - 3'!B22="User may override system pressure if known.",'Inputs - 3'!B23+'Inputs - 3'!B24+'Inputs - 3'!B25,'Inputs - 3'!B22)</f>
        <v>0</v>
      </c>
    </row>
    <row r="14" spans="1:3" ht="15.5" x14ac:dyDescent="0.35">
      <c r="A14" s="33" t="s">
        <v>46</v>
      </c>
      <c r="B14" s="57" t="s">
        <v>119</v>
      </c>
      <c r="C14" s="58">
        <f>IF('Inputs - 3'!C22="User may override system pressure if known.",'Inputs - 3'!C23+'Inputs - 3'!C24+'Inputs - 3'!C25,'Inputs - 3'!C22)</f>
        <v>0</v>
      </c>
    </row>
    <row r="15" spans="1:3" ht="15.5" x14ac:dyDescent="0.35">
      <c r="A15" s="33" t="s">
        <v>47</v>
      </c>
      <c r="B15" s="57" t="s">
        <v>120</v>
      </c>
      <c r="C15" s="58" t="e">
        <f>IF('Inputs - 3'!B15="Electricity", 0, 'Inputs - 3'!B14*'Inputs - 3'!B16)</f>
        <v>#N/A</v>
      </c>
    </row>
    <row r="16" spans="1:3" ht="15.5" x14ac:dyDescent="0.35">
      <c r="A16" s="33" t="s">
        <v>48</v>
      </c>
      <c r="B16" s="57" t="s">
        <v>121</v>
      </c>
      <c r="C16" s="58">
        <f>IF('Inputs - 3'!B15="Electricity", 'Inputs - 3'!B14*'Inputs - 3'!B16, 0)</f>
        <v>0</v>
      </c>
    </row>
    <row r="17" spans="1:3" ht="15.5" x14ac:dyDescent="0.35">
      <c r="A17" s="33" t="s">
        <v>150</v>
      </c>
      <c r="B17" s="57" t="s">
        <v>122</v>
      </c>
      <c r="C17" s="34">
        <f>'Inputs - 3'!B19*'Inputs - 3'!B20*0.746*Defaults!B15*'Inputs - 3'!B21</f>
        <v>0</v>
      </c>
    </row>
    <row r="18" spans="1:3" ht="15.5" x14ac:dyDescent="0.35">
      <c r="A18" s="33" t="s">
        <v>151</v>
      </c>
      <c r="B18" s="57" t="s">
        <v>123</v>
      </c>
      <c r="C18" s="34" t="e">
        <f>IF('Inputs - 3'!B15="Electricity",MAX(C17,C16), C15)</f>
        <v>#N/A</v>
      </c>
    </row>
    <row r="19" spans="1:3" ht="15.5" x14ac:dyDescent="0.35">
      <c r="A19" s="33" t="s">
        <v>49</v>
      </c>
      <c r="B19" s="57" t="s">
        <v>52</v>
      </c>
      <c r="C19" s="34" t="e">
        <f>(1-(('Inputs - 3'!C29)))*(C14/C13)*('Inputs - 3'!B21/'Inputs - 3'!C21)*C18</f>
        <v>#DIV/0!</v>
      </c>
    </row>
    <row r="20" spans="1:3" ht="15.5" x14ac:dyDescent="0.35">
      <c r="A20" s="33" t="s">
        <v>50</v>
      </c>
      <c r="B20" s="57" t="s">
        <v>133</v>
      </c>
      <c r="C20" s="34">
        <f>IF('Inputs - 3'!B15='Inputs - 3'!C33,0,C19*'Inputs - 3'!C36)</f>
        <v>0</v>
      </c>
    </row>
    <row r="21" spans="1:3" ht="15.5" x14ac:dyDescent="0.35">
      <c r="A21" s="33" t="s">
        <v>51</v>
      </c>
      <c r="B21" s="57" t="s">
        <v>53</v>
      </c>
      <c r="C21" s="34" t="e">
        <f>IF(C20=0, C19, C20)</f>
        <v>#DIV/0!</v>
      </c>
    </row>
    <row r="22" spans="1:3" ht="15.5" x14ac:dyDescent="0.35">
      <c r="A22" s="33" t="s">
        <v>183</v>
      </c>
      <c r="B22" s="57" t="s">
        <v>54</v>
      </c>
      <c r="C22" s="34">
        <f>(IF('Inputs - 3'!C26="VFD Booster Pump", Defaults!G14, IF('Inputs - 3'!C26="VFD Well Pump", Defaults!G15, 0)))*0.97</f>
        <v>0</v>
      </c>
    </row>
    <row r="23" spans="1:3" ht="15.5" x14ac:dyDescent="0.35">
      <c r="A23" s="33" t="s">
        <v>155</v>
      </c>
      <c r="B23" s="57" t="s">
        <v>55</v>
      </c>
      <c r="C23" s="34">
        <f>IF(C14=C13, C22*'Inputs - 3'!C19*Defaults!B15, C22*'Inputs - 3'!C19*Defaults!B15*(1-('Inputs - 3'!C29))*((1-(C13-C14)/(C13))))</f>
        <v>0</v>
      </c>
    </row>
    <row r="24" spans="1:3" ht="15.5" x14ac:dyDescent="0.35">
      <c r="A24" s="33" t="s">
        <v>152</v>
      </c>
      <c r="B24" s="57" t="s">
        <v>57</v>
      </c>
      <c r="C24" s="34">
        <f>'Inputs - 3'!C32*8766*0.18* Defaults!B15</f>
        <v>0</v>
      </c>
    </row>
    <row r="25" spans="1:3" ht="15.5" x14ac:dyDescent="0.35">
      <c r="A25" s="33" t="s">
        <v>56</v>
      </c>
      <c r="B25" s="57" t="s">
        <v>125</v>
      </c>
      <c r="C25" s="34" t="e">
        <f>C18-C21+C23+C24</f>
        <v>#N/A</v>
      </c>
    </row>
    <row r="26" spans="1:3" x14ac:dyDescent="0.35">
      <c r="A26" s="187"/>
      <c r="B26" s="188"/>
      <c r="C26" s="189"/>
    </row>
    <row r="27" spans="1:3" ht="15" x14ac:dyDescent="0.35">
      <c r="A27" s="185" t="s">
        <v>58</v>
      </c>
      <c r="B27" s="186"/>
      <c r="C27" s="39">
        <f>IFERROR(C25,0)</f>
        <v>0</v>
      </c>
    </row>
    <row r="28" spans="1:3" x14ac:dyDescent="0.35">
      <c r="A28" s="2"/>
      <c r="B28" s="2"/>
      <c r="C28" s="2"/>
    </row>
  </sheetData>
  <sheetProtection algorithmName="SHA-512" hashValue="165oKc5gZzMBIryMw/4MFaKfBEhn5fqAkFoVJq6lUYKn0yvozjxkcjkPZWzs/5/BhQBLTV7CkBy1PcSUcsZRAg==" saltValue="FH0PKMoqeitV3DHUJlxyPQ=="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(c) of 6&amp;RGHG Calculations Tab</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8"/>
  <sheetViews>
    <sheetView showGridLines="0" zoomScaleNormal="100" workbookViewId="0"/>
  </sheetViews>
  <sheetFormatPr defaultRowHeight="14.5" x14ac:dyDescent="0.35"/>
  <cols>
    <col min="1" max="1" width="42.453125" customWidth="1"/>
    <col min="2" max="2" width="64.1796875" customWidth="1"/>
    <col min="3" max="3" width="40.54296875" customWidth="1"/>
  </cols>
  <sheetData>
    <row r="1" spans="1:3" ht="17.5" x14ac:dyDescent="0.35">
      <c r="A1" s="1"/>
      <c r="B1" s="153" t="s">
        <v>184</v>
      </c>
      <c r="C1" s="158"/>
    </row>
    <row r="2" spans="1:3" ht="17.5" x14ac:dyDescent="0.35">
      <c r="A2" s="1"/>
      <c r="B2" s="154" t="s">
        <v>192</v>
      </c>
      <c r="C2" s="159"/>
    </row>
    <row r="3" spans="1:3" ht="17.5" x14ac:dyDescent="0.35">
      <c r="A3" s="1"/>
      <c r="B3" s="154" t="s">
        <v>185</v>
      </c>
      <c r="C3" s="159"/>
    </row>
    <row r="4" spans="1:3" ht="17.5" x14ac:dyDescent="0.35">
      <c r="A4" s="1"/>
      <c r="B4" s="155" t="s">
        <v>186</v>
      </c>
      <c r="C4" s="160"/>
    </row>
    <row r="5" spans="1:3" ht="17.5" x14ac:dyDescent="0.35">
      <c r="A5" s="1"/>
      <c r="B5" s="192"/>
      <c r="C5" s="192"/>
    </row>
    <row r="6" spans="1:3" ht="17.5" x14ac:dyDescent="0.35">
      <c r="A6" s="1"/>
      <c r="B6" s="192"/>
      <c r="C6" s="192"/>
    </row>
    <row r="7" spans="1:3" ht="15.5" x14ac:dyDescent="0.35">
      <c r="A7" s="1"/>
      <c r="B7" s="1"/>
      <c r="C7" s="37"/>
    </row>
    <row r="8" spans="1:3" x14ac:dyDescent="0.35">
      <c r="A8" s="1"/>
      <c r="B8" s="1"/>
      <c r="C8" s="1"/>
    </row>
    <row r="9" spans="1:3" x14ac:dyDescent="0.35">
      <c r="A9" s="2"/>
      <c r="B9" s="2"/>
      <c r="C9" s="2"/>
    </row>
    <row r="10" spans="1:3" x14ac:dyDescent="0.35">
      <c r="A10" s="2"/>
      <c r="B10" s="2"/>
      <c r="C10" s="2"/>
    </row>
    <row r="11" spans="1:3" ht="15.5" x14ac:dyDescent="0.35">
      <c r="A11" s="7"/>
      <c r="B11" s="7"/>
      <c r="C11" s="7"/>
    </row>
    <row r="12" spans="1:3" ht="15.5" x14ac:dyDescent="0.35">
      <c r="A12" s="8" t="s">
        <v>42</v>
      </c>
      <c r="B12" s="8" t="s">
        <v>43</v>
      </c>
      <c r="C12" s="8" t="s">
        <v>44</v>
      </c>
    </row>
    <row r="13" spans="1:3" ht="15.5" x14ac:dyDescent="0.35">
      <c r="A13" s="33" t="s">
        <v>45</v>
      </c>
      <c r="B13" s="57" t="s">
        <v>118</v>
      </c>
      <c r="C13" s="58">
        <f>IF('Inputs - 4'!B22="User may override system pressure if known.",'Inputs - 4'!B23+'Inputs - 4'!B24+'Inputs - 4'!B25,'Inputs - 4'!B22)</f>
        <v>0</v>
      </c>
    </row>
    <row r="14" spans="1:3" ht="15.5" x14ac:dyDescent="0.35">
      <c r="A14" s="33" t="s">
        <v>46</v>
      </c>
      <c r="B14" s="57" t="s">
        <v>119</v>
      </c>
      <c r="C14" s="58">
        <f>IF('Inputs - 4'!C22="User may override system pressure if known.",'Inputs - 4'!C23+'Inputs - 4'!C24+'Inputs - 4'!C25,'Inputs - 4'!C22)</f>
        <v>0</v>
      </c>
    </row>
    <row r="15" spans="1:3" ht="15.5" x14ac:dyDescent="0.35">
      <c r="A15" s="33" t="s">
        <v>47</v>
      </c>
      <c r="B15" s="57" t="s">
        <v>120</v>
      </c>
      <c r="C15" s="58" t="e">
        <f>IF('Inputs - 4'!B15="Electricity", 0, 'Inputs - 4'!B14*'Inputs - 4'!B16)</f>
        <v>#N/A</v>
      </c>
    </row>
    <row r="16" spans="1:3" ht="15.5" x14ac:dyDescent="0.35">
      <c r="A16" s="33" t="s">
        <v>48</v>
      </c>
      <c r="B16" s="57" t="s">
        <v>121</v>
      </c>
      <c r="C16" s="58">
        <f>IF('Inputs - 4'!B15="Electricity", 'Inputs - 4'!B14*'Inputs - 4'!B16, 0)</f>
        <v>0</v>
      </c>
    </row>
    <row r="17" spans="1:3" ht="15.5" x14ac:dyDescent="0.35">
      <c r="A17" s="33" t="s">
        <v>150</v>
      </c>
      <c r="B17" s="57" t="s">
        <v>122</v>
      </c>
      <c r="C17" s="34">
        <f>'Inputs - 4'!B19*'Inputs - 4'!B20*0.746*Defaults!B15*'Inputs - 4'!B21</f>
        <v>0</v>
      </c>
    </row>
    <row r="18" spans="1:3" ht="15.5" x14ac:dyDescent="0.35">
      <c r="A18" s="33" t="s">
        <v>151</v>
      </c>
      <c r="B18" s="57" t="s">
        <v>123</v>
      </c>
      <c r="C18" s="34" t="e">
        <f>IF('Inputs - 4'!B15="Electricity",MAX(C17,C16), C15)</f>
        <v>#N/A</v>
      </c>
    </row>
    <row r="19" spans="1:3" ht="15.5" x14ac:dyDescent="0.35">
      <c r="A19" s="33" t="s">
        <v>49</v>
      </c>
      <c r="B19" s="57" t="s">
        <v>52</v>
      </c>
      <c r="C19" s="34" t="e">
        <f>(1-(('Inputs - 4'!C29)))*(C14/C13)*('Inputs - 4'!B21/'Inputs - 4'!C21)*C18</f>
        <v>#DIV/0!</v>
      </c>
    </row>
    <row r="20" spans="1:3" ht="15.5" x14ac:dyDescent="0.35">
      <c r="A20" s="33" t="s">
        <v>50</v>
      </c>
      <c r="B20" s="57" t="s">
        <v>133</v>
      </c>
      <c r="C20" s="34">
        <f>IF('Inputs - 4'!B15='Inputs - 4'!C33,0,C19*'Inputs - 4'!C36)</f>
        <v>0</v>
      </c>
    </row>
    <row r="21" spans="1:3" ht="15.5" x14ac:dyDescent="0.35">
      <c r="A21" s="33" t="s">
        <v>51</v>
      </c>
      <c r="B21" s="57" t="s">
        <v>53</v>
      </c>
      <c r="C21" s="34" t="e">
        <f>IF(C20=0, C19, C20)</f>
        <v>#DIV/0!</v>
      </c>
    </row>
    <row r="22" spans="1:3" ht="15.5" x14ac:dyDescent="0.35">
      <c r="A22" s="33" t="s">
        <v>183</v>
      </c>
      <c r="B22" s="57" t="s">
        <v>54</v>
      </c>
      <c r="C22" s="34">
        <f>(IF('Inputs - 4'!C26="VFD Booster Pump", Defaults!G14, IF('Inputs - 4'!C26="VFD Well Pump", Defaults!G15, 0)))*0.97</f>
        <v>0</v>
      </c>
    </row>
    <row r="23" spans="1:3" ht="15.5" x14ac:dyDescent="0.35">
      <c r="A23" s="33" t="s">
        <v>155</v>
      </c>
      <c r="B23" s="57" t="s">
        <v>55</v>
      </c>
      <c r="C23" s="34">
        <f>IF(C14=C13, C22*'Inputs - 4'!C19*Defaults!B15, C22*'Inputs - 4'!C19*Defaults!B15*(1-('Inputs - 4'!C29))*((1-(C13-C14)/(C13))))</f>
        <v>0</v>
      </c>
    </row>
    <row r="24" spans="1:3" ht="15.5" x14ac:dyDescent="0.35">
      <c r="A24" s="33" t="s">
        <v>152</v>
      </c>
      <c r="B24" s="57" t="s">
        <v>57</v>
      </c>
      <c r="C24" s="34">
        <f>'Inputs - 4'!C32*8766*0.18* Defaults!B15</f>
        <v>0</v>
      </c>
    </row>
    <row r="25" spans="1:3" ht="15.5" x14ac:dyDescent="0.35">
      <c r="A25" s="33" t="s">
        <v>56</v>
      </c>
      <c r="B25" s="57" t="s">
        <v>125</v>
      </c>
      <c r="C25" s="34" t="e">
        <f>C18-C21+C23+C24</f>
        <v>#N/A</v>
      </c>
    </row>
    <row r="26" spans="1:3" x14ac:dyDescent="0.35">
      <c r="A26" s="187"/>
      <c r="B26" s="188"/>
      <c r="C26" s="189"/>
    </row>
    <row r="27" spans="1:3" ht="15" x14ac:dyDescent="0.35">
      <c r="A27" s="185" t="s">
        <v>58</v>
      </c>
      <c r="B27" s="186"/>
      <c r="C27" s="39">
        <f>IFERROR(C25,0)</f>
        <v>0</v>
      </c>
    </row>
    <row r="28" spans="1:3" x14ac:dyDescent="0.35">
      <c r="A28" s="2"/>
      <c r="B28" s="2"/>
      <c r="C28" s="2"/>
    </row>
  </sheetData>
  <sheetProtection algorithmName="SHA-512" hashValue="XqL/SQlyFa4or5Ck/0A32BgCHVNesYhZbcY0i1cImihXUguXhvz0hYbaT49PPnzdTkRRhkQ1r/FIntqchc0EBg==" saltValue="nWblg8ZPYgDKni7o5fS8wQ=="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(d) of 6&amp;RGHG Calculations Tab</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showGridLines="0" zoomScaleNormal="100" workbookViewId="0"/>
  </sheetViews>
  <sheetFormatPr defaultRowHeight="14.5" x14ac:dyDescent="0.35"/>
  <cols>
    <col min="1" max="1" width="38.81640625" customWidth="1"/>
    <col min="2" max="2" width="72.1796875" customWidth="1"/>
    <col min="3" max="3" width="45.1796875" customWidth="1"/>
  </cols>
  <sheetData>
    <row r="1" spans="1:3" ht="17.5" x14ac:dyDescent="0.35">
      <c r="A1" s="68"/>
      <c r="B1" s="153" t="s">
        <v>184</v>
      </c>
      <c r="C1" s="153"/>
    </row>
    <row r="2" spans="1:3" ht="17.5" x14ac:dyDescent="0.35">
      <c r="A2" s="1"/>
      <c r="B2" s="154" t="s">
        <v>192</v>
      </c>
      <c r="C2" s="154"/>
    </row>
    <row r="3" spans="1:3" ht="17.5" x14ac:dyDescent="0.35">
      <c r="A3" s="1"/>
      <c r="B3" s="154" t="s">
        <v>185</v>
      </c>
      <c r="C3" s="154"/>
    </row>
    <row r="4" spans="1:3" ht="17.5" x14ac:dyDescent="0.35">
      <c r="A4" s="1"/>
      <c r="B4" s="155" t="s">
        <v>186</v>
      </c>
      <c r="C4" s="155"/>
    </row>
    <row r="5" spans="1:3" ht="17.5" x14ac:dyDescent="0.35">
      <c r="A5" s="1"/>
      <c r="B5" s="192"/>
      <c r="C5" s="192"/>
    </row>
    <row r="6" spans="1:3" ht="17.5" x14ac:dyDescent="0.35">
      <c r="A6" s="1"/>
      <c r="B6" s="192"/>
      <c r="C6" s="192"/>
    </row>
    <row r="7" spans="1:3" ht="15.5" x14ac:dyDescent="0.35">
      <c r="A7" s="1"/>
      <c r="B7" s="1"/>
      <c r="C7" s="37"/>
    </row>
    <row r="8" spans="1:3" x14ac:dyDescent="0.35">
      <c r="A8" s="1"/>
      <c r="B8" s="1"/>
      <c r="C8" s="1"/>
    </row>
    <row r="9" spans="1:3" x14ac:dyDescent="0.35">
      <c r="A9" s="2"/>
      <c r="B9" s="2"/>
      <c r="C9" s="2"/>
    </row>
    <row r="10" spans="1:3" x14ac:dyDescent="0.35">
      <c r="A10" s="2"/>
      <c r="B10" s="2"/>
      <c r="C10" s="2"/>
    </row>
    <row r="11" spans="1:3" ht="15.5" x14ac:dyDescent="0.35">
      <c r="A11" s="7"/>
      <c r="B11" s="7"/>
      <c r="C11" s="7"/>
    </row>
    <row r="12" spans="1:3" ht="15.5" x14ac:dyDescent="0.35">
      <c r="A12" s="8" t="s">
        <v>42</v>
      </c>
      <c r="B12" s="8" t="s">
        <v>43</v>
      </c>
      <c r="C12" s="8" t="s">
        <v>44</v>
      </c>
    </row>
    <row r="13" spans="1:3" ht="15.5" x14ac:dyDescent="0.35">
      <c r="A13" s="33" t="s">
        <v>45</v>
      </c>
      <c r="B13" s="57" t="s">
        <v>118</v>
      </c>
      <c r="C13" s="58">
        <f>IF('Inputs - 5'!B22="User may override system pressure if known.",'Inputs - 5'!B23+'Inputs - 5'!B24+'Inputs - 5'!B25,'Inputs - 5'!B22)</f>
        <v>0</v>
      </c>
    </row>
    <row r="14" spans="1:3" ht="15.5" x14ac:dyDescent="0.35">
      <c r="A14" s="33" t="s">
        <v>46</v>
      </c>
      <c r="B14" s="57" t="s">
        <v>119</v>
      </c>
      <c r="C14" s="58">
        <f>IF('Inputs - 5'!C22="User may override system pressure if known.",'Inputs - 5'!C23+'Inputs - 5'!C24+'Inputs - 5'!C25,'Inputs - 5'!C22)</f>
        <v>0</v>
      </c>
    </row>
    <row r="15" spans="1:3" ht="15.5" x14ac:dyDescent="0.35">
      <c r="A15" s="33" t="s">
        <v>47</v>
      </c>
      <c r="B15" s="57" t="s">
        <v>120</v>
      </c>
      <c r="C15" s="58" t="e">
        <f>IF('Inputs - 5'!B15="Electricity", 0, 'Inputs - 5'!B14*'Inputs - 5'!B16)</f>
        <v>#N/A</v>
      </c>
    </row>
    <row r="16" spans="1:3" ht="15.5" x14ac:dyDescent="0.35">
      <c r="A16" s="33" t="s">
        <v>48</v>
      </c>
      <c r="B16" s="57" t="s">
        <v>121</v>
      </c>
      <c r="C16" s="58">
        <f>IF('Inputs - 5'!B15="Electricity", 'Inputs - 5'!B14*'Inputs - 5'!B16, 0)</f>
        <v>0</v>
      </c>
    </row>
    <row r="17" spans="1:3" ht="15.5" x14ac:dyDescent="0.35">
      <c r="A17" s="33" t="s">
        <v>150</v>
      </c>
      <c r="B17" s="57" t="s">
        <v>122</v>
      </c>
      <c r="C17" s="34">
        <f>'Inputs - 5'!B19*'Inputs - 5'!B20*0.746*Defaults!B15*'Inputs - 5'!B21</f>
        <v>0</v>
      </c>
    </row>
    <row r="18" spans="1:3" ht="15.5" x14ac:dyDescent="0.35">
      <c r="A18" s="33" t="s">
        <v>151</v>
      </c>
      <c r="B18" s="57" t="s">
        <v>123</v>
      </c>
      <c r="C18" s="34" t="e">
        <f>IF('Inputs - 5'!B15="Electricity",MAX(C17,C16), C15)</f>
        <v>#N/A</v>
      </c>
    </row>
    <row r="19" spans="1:3" ht="15.5" x14ac:dyDescent="0.35">
      <c r="A19" s="33" t="s">
        <v>49</v>
      </c>
      <c r="B19" s="57" t="s">
        <v>52</v>
      </c>
      <c r="C19" s="34" t="e">
        <f>(1-(('Inputs - 5'!C29)))*(C14/C13)*('Inputs - 5'!B21/'Inputs - 5'!C21)*C18</f>
        <v>#DIV/0!</v>
      </c>
    </row>
    <row r="20" spans="1:3" ht="15.5" x14ac:dyDescent="0.35">
      <c r="A20" s="33" t="s">
        <v>50</v>
      </c>
      <c r="B20" s="57" t="s">
        <v>133</v>
      </c>
      <c r="C20" s="34">
        <f>IF('Inputs - 5'!B15='Inputs - 5'!C33,0,C19*'Inputs - 5'!C36)</f>
        <v>0</v>
      </c>
    </row>
    <row r="21" spans="1:3" ht="15.5" x14ac:dyDescent="0.35">
      <c r="A21" s="33" t="s">
        <v>51</v>
      </c>
      <c r="B21" s="57" t="s">
        <v>53</v>
      </c>
      <c r="C21" s="34" t="e">
        <f>IF(C20=0, C19, C20)</f>
        <v>#DIV/0!</v>
      </c>
    </row>
    <row r="22" spans="1:3" ht="15.5" x14ac:dyDescent="0.35">
      <c r="A22" s="33" t="s">
        <v>183</v>
      </c>
      <c r="B22" s="57" t="s">
        <v>54</v>
      </c>
      <c r="C22" s="34">
        <f>(IF('Inputs - 5'!C26="VFD Booster Pump", Defaults!G14, IF('Inputs - 5'!C26="VFD Well Pump", Defaults!G15, 0)))*0.97</f>
        <v>0</v>
      </c>
    </row>
    <row r="23" spans="1:3" ht="15.5" x14ac:dyDescent="0.35">
      <c r="A23" s="33" t="s">
        <v>155</v>
      </c>
      <c r="B23" s="57" t="s">
        <v>55</v>
      </c>
      <c r="C23" s="34">
        <f>IF(C14=C13, C22*'Inputs - 5'!C19*Defaults!B15, C22*'Inputs - 5'!C19*Defaults!B15*(1-('Inputs - 5'!C29))*((1-(C13-C14)/(C13))))</f>
        <v>0</v>
      </c>
    </row>
    <row r="24" spans="1:3" ht="15.5" x14ac:dyDescent="0.35">
      <c r="A24" s="33" t="s">
        <v>152</v>
      </c>
      <c r="B24" s="57" t="s">
        <v>57</v>
      </c>
      <c r="C24" s="34">
        <f>'Inputs - 5'!C32*8766*0.18* Defaults!B15</f>
        <v>0</v>
      </c>
    </row>
    <row r="25" spans="1:3" ht="15.5" x14ac:dyDescent="0.35">
      <c r="A25" s="33" t="s">
        <v>56</v>
      </c>
      <c r="B25" s="57" t="s">
        <v>125</v>
      </c>
      <c r="C25" s="34" t="e">
        <f>C18-C21+C23+C24</f>
        <v>#N/A</v>
      </c>
    </row>
    <row r="26" spans="1:3" x14ac:dyDescent="0.35">
      <c r="A26" s="187"/>
      <c r="B26" s="188"/>
      <c r="C26" s="189"/>
    </row>
    <row r="27" spans="1:3" ht="15" x14ac:dyDescent="0.35">
      <c r="A27" s="185" t="s">
        <v>58</v>
      </c>
      <c r="B27" s="186"/>
      <c r="C27" s="39">
        <f>IFERROR(C25,0)</f>
        <v>0</v>
      </c>
    </row>
    <row r="28" spans="1:3" x14ac:dyDescent="0.35">
      <c r="A28" s="2"/>
      <c r="B28" s="2"/>
      <c r="C28" s="2"/>
    </row>
  </sheetData>
  <sheetProtection algorithmName="SHA-512" hashValue="I5mYblKVEdkUONCf/1N40KHJPaEj7D//LQVvprHglmJGaMWV8dKs4aGi5Zi+ej3HqO9qyPNRszCwkLsnLD9zhQ==" saltValue="8wft59/ME/K1y/w7ntGSZw=="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(e) of 6&amp;RGHG Calculations Tab</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97"/>
  <sheetViews>
    <sheetView showGridLines="0" zoomScaleNormal="100" workbookViewId="0"/>
  </sheetViews>
  <sheetFormatPr defaultColWidth="9.1796875" defaultRowHeight="14.5" x14ac:dyDescent="0.35"/>
  <cols>
    <col min="1" max="1" width="55.453125" style="2" customWidth="1"/>
    <col min="2" max="2" width="27.81640625" style="2" customWidth="1"/>
    <col min="3" max="3" width="17.1796875" style="2" customWidth="1"/>
    <col min="4" max="5" width="9.1796875" style="2"/>
    <col min="6" max="6" width="62.1796875" style="2" bestFit="1" customWidth="1"/>
    <col min="7" max="7" width="34.453125" style="2" customWidth="1"/>
    <col min="8" max="16384" width="9.1796875" style="2"/>
  </cols>
  <sheetData>
    <row r="1" spans="1:10" ht="17.5" x14ac:dyDescent="0.35">
      <c r="A1" s="1"/>
      <c r="B1" s="1"/>
      <c r="C1" s="1"/>
      <c r="D1" s="1"/>
      <c r="E1" s="102" t="s">
        <v>184</v>
      </c>
      <c r="F1" s="1"/>
      <c r="G1" s="1"/>
      <c r="H1" s="1"/>
      <c r="I1" s="1"/>
      <c r="J1" s="1"/>
    </row>
    <row r="2" spans="1:10" ht="17.5" x14ac:dyDescent="0.35">
      <c r="A2" s="1"/>
      <c r="B2" s="1"/>
      <c r="C2" s="1"/>
      <c r="D2" s="1"/>
      <c r="E2" s="104" t="s">
        <v>192</v>
      </c>
      <c r="F2" s="1"/>
      <c r="G2" s="1"/>
      <c r="H2" s="1"/>
      <c r="I2" s="1"/>
      <c r="J2" s="1"/>
    </row>
    <row r="3" spans="1:10" ht="17.5" x14ac:dyDescent="0.35">
      <c r="A3" s="1"/>
      <c r="B3" s="1"/>
      <c r="C3" s="1"/>
      <c r="D3" s="1"/>
      <c r="E3" s="104" t="s">
        <v>185</v>
      </c>
      <c r="F3" s="1"/>
      <c r="G3" s="1"/>
      <c r="H3" s="1"/>
      <c r="I3" s="1"/>
      <c r="J3" s="1"/>
    </row>
    <row r="4" spans="1:10" ht="17.5" x14ac:dyDescent="0.35">
      <c r="A4" s="1"/>
      <c r="B4" s="1"/>
      <c r="C4" s="1"/>
      <c r="D4" s="1"/>
      <c r="E4" s="105" t="s">
        <v>186</v>
      </c>
      <c r="F4" s="1"/>
      <c r="G4" s="1"/>
      <c r="H4" s="1"/>
      <c r="I4" s="1"/>
      <c r="J4" s="1"/>
    </row>
    <row r="5" spans="1:10" ht="17.5" x14ac:dyDescent="0.35">
      <c r="A5" s="1"/>
      <c r="B5" s="1"/>
      <c r="C5" s="1"/>
      <c r="D5" s="1"/>
      <c r="E5" s="105"/>
      <c r="F5" s="1"/>
      <c r="G5" s="1"/>
      <c r="H5" s="1"/>
      <c r="I5" s="1"/>
      <c r="J5" s="1"/>
    </row>
    <row r="6" spans="1:10" ht="17.5" x14ac:dyDescent="0.35">
      <c r="A6" s="1"/>
      <c r="B6" s="1"/>
      <c r="C6" s="1"/>
      <c r="D6" s="1"/>
      <c r="E6" s="105"/>
      <c r="F6" s="1"/>
      <c r="G6" s="1"/>
      <c r="H6" s="1"/>
      <c r="I6" s="1"/>
      <c r="J6" s="1"/>
    </row>
    <row r="10" spans="1:10" x14ac:dyDescent="0.35">
      <c r="A10" s="1"/>
      <c r="B10" s="1"/>
      <c r="C10" s="1"/>
      <c r="D10" s="1"/>
      <c r="E10" s="1"/>
      <c r="F10" s="1"/>
      <c r="G10" s="1"/>
      <c r="H10" s="1"/>
      <c r="I10" s="1"/>
      <c r="J10" s="1"/>
    </row>
    <row r="11" spans="1:10" ht="15.5" x14ac:dyDescent="0.35">
      <c r="A11" s="193" t="s">
        <v>59</v>
      </c>
      <c r="B11" s="195" t="s">
        <v>114</v>
      </c>
      <c r="C11" s="197" t="s">
        <v>60</v>
      </c>
      <c r="D11" s="1"/>
      <c r="E11" s="1"/>
      <c r="F11" s="3"/>
      <c r="G11" s="3"/>
      <c r="H11" s="3"/>
      <c r="I11" s="3"/>
      <c r="J11" s="3"/>
    </row>
    <row r="12" spans="1:10" ht="15.5" x14ac:dyDescent="0.35">
      <c r="A12" s="194"/>
      <c r="B12" s="196"/>
      <c r="C12" s="198"/>
      <c r="D12" s="1"/>
      <c r="E12" s="1"/>
      <c r="F12" s="40"/>
      <c r="G12" s="3"/>
      <c r="H12" s="3"/>
      <c r="I12" s="3"/>
      <c r="J12" s="3"/>
    </row>
    <row r="13" spans="1:10" ht="15.5" x14ac:dyDescent="0.35">
      <c r="A13" s="53" t="s">
        <v>13</v>
      </c>
      <c r="B13" s="85">
        <v>1.3717E-2</v>
      </c>
      <c r="C13" s="52" t="s">
        <v>61</v>
      </c>
      <c r="D13" s="1"/>
      <c r="E13" s="1"/>
      <c r="F13" s="35" t="s">
        <v>62</v>
      </c>
      <c r="G13" s="35" t="s">
        <v>63</v>
      </c>
      <c r="H13" s="1"/>
      <c r="I13" s="1"/>
      <c r="J13" s="1"/>
    </row>
    <row r="14" spans="1:10" ht="15.5" x14ac:dyDescent="0.35">
      <c r="A14" s="32" t="s">
        <v>64</v>
      </c>
      <c r="B14" s="86">
        <v>7.9300000000000003E-5</v>
      </c>
      <c r="C14" s="46" t="s">
        <v>65</v>
      </c>
      <c r="D14" s="1"/>
      <c r="E14" s="1"/>
      <c r="F14" s="36" t="s">
        <v>66</v>
      </c>
      <c r="G14" s="72">
        <v>227</v>
      </c>
      <c r="H14" s="1"/>
      <c r="I14" s="1"/>
      <c r="J14" s="1"/>
    </row>
    <row r="15" spans="1:10" ht="15.5" x14ac:dyDescent="0.35">
      <c r="A15" s="45" t="s">
        <v>33</v>
      </c>
      <c r="B15" s="30">
        <v>3.79E-4</v>
      </c>
      <c r="C15" s="46" t="s">
        <v>67</v>
      </c>
      <c r="D15" s="1"/>
      <c r="E15" s="1"/>
      <c r="F15" s="36" t="s">
        <v>25</v>
      </c>
      <c r="G15" s="72">
        <v>257</v>
      </c>
      <c r="H15" s="1"/>
      <c r="I15" s="1"/>
      <c r="J15" s="1"/>
    </row>
    <row r="16" spans="1:10" ht="15.5" x14ac:dyDescent="0.35">
      <c r="A16" s="32" t="s">
        <v>110</v>
      </c>
      <c r="B16" s="95">
        <v>6.0499999999999998E-3</v>
      </c>
      <c r="C16" s="46" t="s">
        <v>61</v>
      </c>
      <c r="D16" s="1"/>
      <c r="E16" s="1"/>
      <c r="F16" s="41" t="s">
        <v>68</v>
      </c>
      <c r="G16" s="41"/>
      <c r="H16" s="41"/>
      <c r="I16" s="41"/>
      <c r="J16" s="41"/>
    </row>
    <row r="17" spans="1:10" ht="15.5" x14ac:dyDescent="0.35">
      <c r="A17" s="32" t="s">
        <v>69</v>
      </c>
      <c r="B17" s="29">
        <v>1.141E-2</v>
      </c>
      <c r="C17" s="46" t="s">
        <v>61</v>
      </c>
      <c r="D17" s="1"/>
      <c r="E17" s="1"/>
      <c r="F17" s="42" t="s">
        <v>70</v>
      </c>
      <c r="G17" s="43"/>
      <c r="H17" s="43"/>
      <c r="I17" s="43"/>
      <c r="J17" s="43"/>
    </row>
    <row r="18" spans="1:10" ht="15.5" x14ac:dyDescent="0.35">
      <c r="A18" s="45" t="s">
        <v>71</v>
      </c>
      <c r="B18" s="30">
        <v>0</v>
      </c>
      <c r="C18" s="46"/>
      <c r="D18" s="1"/>
      <c r="E18" s="1"/>
      <c r="F18" s="4"/>
      <c r="G18" s="1"/>
      <c r="H18" s="1"/>
      <c r="I18" s="1"/>
      <c r="J18" s="1"/>
    </row>
    <row r="19" spans="1:10" ht="15.5" x14ac:dyDescent="0.35">
      <c r="A19" s="45" t="s">
        <v>72</v>
      </c>
      <c r="B19" s="30">
        <v>0</v>
      </c>
      <c r="C19" s="46"/>
      <c r="D19" s="1"/>
      <c r="E19" s="1"/>
      <c r="F19" s="5"/>
      <c r="G19" s="1"/>
      <c r="H19" s="1"/>
      <c r="I19" s="1"/>
      <c r="J19" s="1"/>
    </row>
    <row r="20" spans="1:10" ht="15.5" x14ac:dyDescent="0.35">
      <c r="A20" s="45" t="s">
        <v>73</v>
      </c>
      <c r="B20" s="30">
        <v>0</v>
      </c>
      <c r="C20" s="46"/>
      <c r="D20" s="1"/>
      <c r="E20" s="1"/>
      <c r="F20" s="5"/>
      <c r="G20" s="1"/>
      <c r="H20" s="1"/>
      <c r="I20" s="1"/>
      <c r="J20" s="1"/>
    </row>
    <row r="21" spans="1:10" x14ac:dyDescent="0.35">
      <c r="A21" s="1"/>
      <c r="B21" s="1"/>
      <c r="C21" s="1"/>
      <c r="D21" s="1"/>
      <c r="E21" s="1"/>
      <c r="F21" s="1"/>
      <c r="G21" s="1"/>
      <c r="H21" s="1"/>
      <c r="I21" s="1"/>
      <c r="J21" s="1"/>
    </row>
    <row r="22" spans="1:10" ht="15" x14ac:dyDescent="0.35">
      <c r="A22" s="51" t="s">
        <v>59</v>
      </c>
      <c r="B22" s="51" t="s">
        <v>74</v>
      </c>
      <c r="C22" s="51" t="s">
        <v>60</v>
      </c>
      <c r="D22" s="1"/>
      <c r="E22" s="1"/>
      <c r="F22" s="1"/>
      <c r="G22" s="1"/>
      <c r="H22" s="1"/>
      <c r="I22" s="1"/>
      <c r="J22" s="1"/>
    </row>
    <row r="23" spans="1:10" ht="15" x14ac:dyDescent="0.35">
      <c r="A23" s="53" t="s">
        <v>13</v>
      </c>
      <c r="B23" s="88">
        <v>102.01</v>
      </c>
      <c r="C23" s="52" t="s">
        <v>75</v>
      </c>
      <c r="D23" s="1"/>
      <c r="E23" s="1"/>
      <c r="F23" s="1"/>
      <c r="G23" s="1"/>
      <c r="H23" s="1"/>
      <c r="I23" s="1"/>
      <c r="J23" s="1"/>
    </row>
    <row r="24" spans="1:10" ht="15" x14ac:dyDescent="0.35">
      <c r="A24" s="32" t="s">
        <v>64</v>
      </c>
      <c r="B24" s="89">
        <v>78.37</v>
      </c>
      <c r="C24" s="46" t="s">
        <v>75</v>
      </c>
      <c r="D24" s="1"/>
      <c r="E24" s="1"/>
      <c r="F24" s="1"/>
      <c r="G24" s="1"/>
      <c r="H24" s="1"/>
      <c r="I24" s="1"/>
      <c r="J24" s="1"/>
    </row>
    <row r="25" spans="1:10" ht="15.5" x14ac:dyDescent="0.35">
      <c r="A25" s="45" t="s">
        <v>33</v>
      </c>
      <c r="B25" s="30">
        <v>30.93</v>
      </c>
      <c r="C25" s="46" t="s">
        <v>75</v>
      </c>
      <c r="D25" s="1"/>
      <c r="E25" s="1"/>
      <c r="F25" s="1"/>
      <c r="G25" s="1"/>
      <c r="H25" s="1"/>
      <c r="I25" s="1"/>
      <c r="J25" s="1"/>
    </row>
    <row r="26" spans="1:10" ht="15" x14ac:dyDescent="0.35">
      <c r="A26" s="32" t="s">
        <v>111</v>
      </c>
      <c r="B26" s="89">
        <v>44.99</v>
      </c>
      <c r="C26" s="46" t="s">
        <v>75</v>
      </c>
      <c r="D26" s="1"/>
      <c r="E26" s="1"/>
      <c r="F26" s="1"/>
      <c r="G26" s="1"/>
      <c r="H26" s="1"/>
      <c r="I26" s="1"/>
      <c r="J26" s="1"/>
    </row>
    <row r="27" spans="1:10" ht="15" x14ac:dyDescent="0.35">
      <c r="A27" s="32" t="s">
        <v>69</v>
      </c>
      <c r="B27" s="89">
        <v>98.47</v>
      </c>
      <c r="C27" s="46" t="s">
        <v>75</v>
      </c>
      <c r="D27" s="1"/>
      <c r="E27" s="1"/>
      <c r="F27" s="44"/>
      <c r="G27" s="1"/>
      <c r="H27" s="1"/>
      <c r="I27" s="1"/>
      <c r="J27" s="1"/>
    </row>
    <row r="28" spans="1:10" ht="15.5" x14ac:dyDescent="0.35">
      <c r="A28" s="45" t="s">
        <v>71</v>
      </c>
      <c r="B28" s="30">
        <v>0</v>
      </c>
      <c r="C28" s="46"/>
      <c r="D28" s="1"/>
      <c r="E28" s="1"/>
      <c r="F28" s="44"/>
      <c r="G28" s="1"/>
      <c r="H28" s="1"/>
      <c r="I28" s="1"/>
      <c r="J28" s="1"/>
    </row>
    <row r="29" spans="1:10" ht="15.5" x14ac:dyDescent="0.35">
      <c r="A29" s="45" t="s">
        <v>72</v>
      </c>
      <c r="B29" s="30">
        <v>0</v>
      </c>
      <c r="C29" s="46"/>
      <c r="D29" s="1"/>
      <c r="E29" s="1"/>
      <c r="F29" s="44"/>
      <c r="G29" s="1"/>
      <c r="H29" s="1"/>
      <c r="I29" s="1"/>
      <c r="J29" s="1"/>
    </row>
    <row r="30" spans="1:10" ht="15.5" x14ac:dyDescent="0.35">
      <c r="A30" s="45" t="s">
        <v>73</v>
      </c>
      <c r="B30" s="30">
        <v>0</v>
      </c>
      <c r="C30" s="46"/>
      <c r="D30" s="1"/>
      <c r="E30" s="1"/>
      <c r="F30" s="44"/>
      <c r="G30" s="1"/>
      <c r="H30" s="1"/>
      <c r="I30" s="1"/>
      <c r="J30" s="1"/>
    </row>
    <row r="31" spans="1:10" x14ac:dyDescent="0.35">
      <c r="A31" s="1"/>
      <c r="B31" s="1"/>
      <c r="C31" s="1"/>
      <c r="D31" s="1"/>
      <c r="E31" s="1"/>
      <c r="F31" s="1"/>
      <c r="G31" s="1"/>
      <c r="H31" s="1"/>
      <c r="I31" s="1"/>
      <c r="J31" s="1"/>
    </row>
    <row r="32" spans="1:10" ht="15" x14ac:dyDescent="0.35">
      <c r="A32" s="31" t="s">
        <v>76</v>
      </c>
      <c r="B32" s="31" t="s">
        <v>77</v>
      </c>
    </row>
    <row r="33" spans="1:2" ht="15" x14ac:dyDescent="0.35">
      <c r="A33" s="32" t="s">
        <v>78</v>
      </c>
      <c r="B33" s="89">
        <v>1</v>
      </c>
    </row>
    <row r="34" spans="1:2" ht="3" customHeight="1" x14ac:dyDescent="0.35">
      <c r="A34" s="62"/>
      <c r="B34" s="92"/>
    </row>
    <row r="35" spans="1:2" ht="15" x14ac:dyDescent="0.35">
      <c r="A35" s="32" t="s">
        <v>79</v>
      </c>
      <c r="B35" s="93">
        <f>B24/$B$23</f>
        <v>0.76825801392020387</v>
      </c>
    </row>
    <row r="36" spans="1:2" ht="15" x14ac:dyDescent="0.35">
      <c r="A36" s="32" t="s">
        <v>35</v>
      </c>
      <c r="B36" s="93">
        <f t="shared" ref="B36:B38" si="0">B25/$B$23</f>
        <v>0.30320556808156063</v>
      </c>
    </row>
    <row r="37" spans="1:2" ht="15" x14ac:dyDescent="0.35">
      <c r="A37" s="32" t="s">
        <v>103</v>
      </c>
      <c r="B37" s="93">
        <f t="shared" si="0"/>
        <v>0.4410351926281737</v>
      </c>
    </row>
    <row r="38" spans="1:2" ht="18" customHeight="1" x14ac:dyDescent="0.35">
      <c r="A38" s="32" t="s">
        <v>80</v>
      </c>
      <c r="B38" s="93">
        <f t="shared" si="0"/>
        <v>0.96529751985099499</v>
      </c>
    </row>
    <row r="39" spans="1:2" ht="2.25" customHeight="1" x14ac:dyDescent="0.35">
      <c r="A39" s="62"/>
      <c r="B39" s="94"/>
    </row>
    <row r="40" spans="1:2" ht="15.5" x14ac:dyDescent="0.35">
      <c r="A40" s="32" t="s">
        <v>81</v>
      </c>
      <c r="B40" s="90">
        <f>B23/$B$24</f>
        <v>1.3016460380247543</v>
      </c>
    </row>
    <row r="41" spans="1:2" ht="15.5" x14ac:dyDescent="0.35">
      <c r="A41" s="32" t="s">
        <v>82</v>
      </c>
      <c r="B41" s="90">
        <f>B25/$B$24</f>
        <v>0.39466632640040827</v>
      </c>
    </row>
    <row r="42" spans="1:2" ht="15.5" x14ac:dyDescent="0.35">
      <c r="A42" s="32" t="s">
        <v>104</v>
      </c>
      <c r="B42" s="90">
        <f t="shared" ref="B42:B43" si="1">B26/$B$24</f>
        <v>0.57407171111394661</v>
      </c>
    </row>
    <row r="43" spans="1:2" ht="15.5" x14ac:dyDescent="0.35">
      <c r="A43" s="32" t="s">
        <v>83</v>
      </c>
      <c r="B43" s="90">
        <f t="shared" si="1"/>
        <v>1.2564756922291693</v>
      </c>
    </row>
    <row r="44" spans="1:2" ht="2.25" customHeight="1" x14ac:dyDescent="0.35">
      <c r="A44" s="62"/>
      <c r="B44" s="91"/>
    </row>
    <row r="45" spans="1:2" ht="15.5" x14ac:dyDescent="0.35">
      <c r="A45" s="32" t="s">
        <v>105</v>
      </c>
      <c r="B45" s="90">
        <f>B24/$B$26</f>
        <v>1.741942653923094</v>
      </c>
    </row>
    <row r="46" spans="1:2" ht="15.5" x14ac:dyDescent="0.35">
      <c r="A46" s="32" t="s">
        <v>106</v>
      </c>
      <c r="B46" s="90">
        <f>B25/$B$26</f>
        <v>0.68748610802400534</v>
      </c>
    </row>
    <row r="47" spans="1:2" ht="15.5" x14ac:dyDescent="0.35">
      <c r="A47" s="32" t="s">
        <v>107</v>
      </c>
      <c r="B47" s="90">
        <f>B23/$B$26</f>
        <v>2.2673927539453214</v>
      </c>
    </row>
    <row r="48" spans="1:2" ht="15.5" x14ac:dyDescent="0.35">
      <c r="A48" s="32" t="s">
        <v>108</v>
      </c>
      <c r="B48" s="90">
        <f t="shared" ref="B48" si="2">B27/$B$26</f>
        <v>2.1887086019115358</v>
      </c>
    </row>
    <row r="49" spans="1:5" ht="2.25" customHeight="1" x14ac:dyDescent="0.35">
      <c r="A49" s="62"/>
      <c r="B49" s="91"/>
    </row>
    <row r="50" spans="1:5" ht="15.5" x14ac:dyDescent="0.35">
      <c r="A50" s="32" t="s">
        <v>84</v>
      </c>
      <c r="B50" s="90">
        <f>B24/$B$27</f>
        <v>0.7958769168274602</v>
      </c>
    </row>
    <row r="51" spans="1:5" ht="15.5" x14ac:dyDescent="0.35">
      <c r="A51" s="32" t="s">
        <v>85</v>
      </c>
      <c r="B51" s="90">
        <f t="shared" ref="B51:B52" si="3">B25/$B$27</f>
        <v>0.31410581903117701</v>
      </c>
    </row>
    <row r="52" spans="1:5" ht="15.5" x14ac:dyDescent="0.35">
      <c r="A52" s="32" t="s">
        <v>109</v>
      </c>
      <c r="B52" s="90">
        <f t="shared" si="3"/>
        <v>0.45689042347923225</v>
      </c>
    </row>
    <row r="53" spans="1:5" ht="15.5" x14ac:dyDescent="0.35">
      <c r="A53" s="32" t="s">
        <v>86</v>
      </c>
      <c r="B53" s="90">
        <f>B23/$B$27</f>
        <v>1.0359500355438205</v>
      </c>
    </row>
    <row r="54" spans="1:5" ht="15" thickBot="1" x14ac:dyDescent="0.4"/>
    <row r="55" spans="1:5" ht="15.5" x14ac:dyDescent="0.35">
      <c r="A55" s="70" t="s">
        <v>156</v>
      </c>
      <c r="B55" s="70"/>
      <c r="C55" s="70"/>
      <c r="D55" s="70"/>
      <c r="E55" s="70"/>
    </row>
    <row r="56" spans="1:5" x14ac:dyDescent="0.35">
      <c r="A56" s="73" t="s">
        <v>157</v>
      </c>
      <c r="B56" s="74"/>
      <c r="C56" s="74"/>
      <c r="D56" s="74"/>
    </row>
    <row r="57" spans="1:5" x14ac:dyDescent="0.35">
      <c r="A57" s="87" t="s">
        <v>180</v>
      </c>
      <c r="B57" s="79"/>
      <c r="C57" s="79"/>
      <c r="D57" s="74"/>
    </row>
    <row r="58" spans="1:5" x14ac:dyDescent="0.35">
      <c r="A58" s="75" t="s">
        <v>158</v>
      </c>
      <c r="B58" s="75"/>
      <c r="C58" s="75"/>
      <c r="D58" s="75"/>
      <c r="E58" s="76"/>
    </row>
    <row r="59" spans="1:5" x14ac:dyDescent="0.35">
      <c r="A59" s="75" t="s">
        <v>159</v>
      </c>
      <c r="B59" s="75"/>
      <c r="C59" s="75"/>
      <c r="D59" s="75"/>
      <c r="E59" s="76"/>
    </row>
    <row r="60" spans="1:5" x14ac:dyDescent="0.35">
      <c r="A60" s="77" t="s">
        <v>176</v>
      </c>
      <c r="B60" s="75"/>
      <c r="C60" s="75"/>
      <c r="D60" s="75"/>
      <c r="E60" s="76"/>
    </row>
    <row r="61" spans="1:5" x14ac:dyDescent="0.35">
      <c r="A61" s="78" t="s">
        <v>175</v>
      </c>
      <c r="B61" s="75"/>
      <c r="C61" s="75"/>
      <c r="D61" s="75"/>
      <c r="E61" s="76"/>
    </row>
    <row r="63" spans="1:5" x14ac:dyDescent="0.35">
      <c r="A63" s="79" t="s">
        <v>160</v>
      </c>
      <c r="B63" s="80" t="s">
        <v>161</v>
      </c>
      <c r="C63" s="74"/>
      <c r="E63" s="74" t="s">
        <v>162</v>
      </c>
    </row>
    <row r="64" spans="1:5" x14ac:dyDescent="0.35">
      <c r="A64" s="79" t="s">
        <v>13</v>
      </c>
      <c r="B64" s="80" t="s">
        <v>161</v>
      </c>
      <c r="C64" s="74"/>
      <c r="E64" s="74" t="s">
        <v>163</v>
      </c>
    </row>
    <row r="65" spans="1:6" x14ac:dyDescent="0.35">
      <c r="A65" s="79" t="s">
        <v>164</v>
      </c>
      <c r="B65" s="80" t="s">
        <v>161</v>
      </c>
      <c r="C65" s="74"/>
      <c r="E65" s="74" t="s">
        <v>165</v>
      </c>
    </row>
    <row r="66" spans="1:6" x14ac:dyDescent="0.35">
      <c r="A66" s="79" t="s">
        <v>166</v>
      </c>
      <c r="B66" s="80" t="s">
        <v>161</v>
      </c>
      <c r="C66" s="74"/>
      <c r="E66" s="74" t="s">
        <v>165</v>
      </c>
    </row>
    <row r="67" spans="1:6" x14ac:dyDescent="0.35">
      <c r="A67" s="79" t="s">
        <v>167</v>
      </c>
      <c r="B67" s="80" t="s">
        <v>161</v>
      </c>
      <c r="C67" s="74"/>
      <c r="E67" s="74" t="s">
        <v>168</v>
      </c>
    </row>
    <row r="68" spans="1:6" x14ac:dyDescent="0.35">
      <c r="A68" s="79" t="s">
        <v>33</v>
      </c>
      <c r="B68" s="80" t="s">
        <v>161</v>
      </c>
      <c r="C68" s="74"/>
      <c r="E68" s="74" t="s">
        <v>163</v>
      </c>
    </row>
    <row r="70" spans="1:6" x14ac:dyDescent="0.35">
      <c r="A70" s="79" t="s">
        <v>169</v>
      </c>
      <c r="B70" s="79"/>
      <c r="C70" s="79"/>
    </row>
    <row r="71" spans="1:6" x14ac:dyDescent="0.35">
      <c r="A71" s="79" t="s">
        <v>170</v>
      </c>
      <c r="B71" s="79"/>
      <c r="C71" s="79"/>
    </row>
    <row r="72" spans="1:6" x14ac:dyDescent="0.35">
      <c r="A72" s="81"/>
      <c r="B72" s="80" t="s">
        <v>171</v>
      </c>
      <c r="C72" s="74"/>
      <c r="E72" s="74" t="s">
        <v>172</v>
      </c>
    </row>
    <row r="73" spans="1:6" x14ac:dyDescent="0.35">
      <c r="A73" s="79" t="s">
        <v>173</v>
      </c>
      <c r="B73" s="79"/>
      <c r="C73" s="79"/>
    </row>
    <row r="74" spans="1:6" x14ac:dyDescent="0.35">
      <c r="A74" s="71" t="s">
        <v>174</v>
      </c>
    </row>
    <row r="75" spans="1:6" x14ac:dyDescent="0.35">
      <c r="A75" s="71"/>
    </row>
    <row r="76" spans="1:6" x14ac:dyDescent="0.35">
      <c r="A76" s="82" t="s">
        <v>179</v>
      </c>
      <c r="B76" s="76"/>
      <c r="C76" s="76"/>
      <c r="D76" s="76"/>
      <c r="E76" s="76"/>
      <c r="F76" s="76"/>
    </row>
    <row r="77" spans="1:6" x14ac:dyDescent="0.35">
      <c r="A77" s="83" t="s">
        <v>178</v>
      </c>
      <c r="B77" s="76"/>
      <c r="C77" s="76"/>
      <c r="D77" s="76"/>
      <c r="E77" s="76"/>
      <c r="F77" s="76"/>
    </row>
    <row r="78" spans="1:6" x14ac:dyDescent="0.35">
      <c r="A78" s="71"/>
      <c r="B78" s="84" t="s">
        <v>177</v>
      </c>
    </row>
    <row r="79" spans="1:6" x14ac:dyDescent="0.35">
      <c r="A79" s="71"/>
    </row>
    <row r="80" spans="1:6" x14ac:dyDescent="0.35">
      <c r="A80" s="71"/>
    </row>
    <row r="81" spans="1:1" x14ac:dyDescent="0.35">
      <c r="A81" s="71"/>
    </row>
    <row r="82" spans="1:1" x14ac:dyDescent="0.35">
      <c r="A82" s="71"/>
    </row>
    <row r="83" spans="1:1" x14ac:dyDescent="0.35">
      <c r="A83" s="71"/>
    </row>
    <row r="84" spans="1:1" x14ac:dyDescent="0.35">
      <c r="A84" s="71"/>
    </row>
    <row r="85" spans="1:1" x14ac:dyDescent="0.35">
      <c r="A85" s="71"/>
    </row>
    <row r="86" spans="1:1" x14ac:dyDescent="0.35">
      <c r="A86" s="71"/>
    </row>
    <row r="87" spans="1:1" x14ac:dyDescent="0.35">
      <c r="A87" s="71"/>
    </row>
    <row r="88" spans="1:1" x14ac:dyDescent="0.35">
      <c r="A88" s="71"/>
    </row>
    <row r="89" spans="1:1" x14ac:dyDescent="0.35">
      <c r="A89" s="71"/>
    </row>
    <row r="90" spans="1:1" x14ac:dyDescent="0.35">
      <c r="A90" s="71"/>
    </row>
    <row r="91" spans="1:1" x14ac:dyDescent="0.35">
      <c r="A91" s="71"/>
    </row>
    <row r="92" spans="1:1" x14ac:dyDescent="0.35">
      <c r="A92" s="71"/>
    </row>
    <row r="93" spans="1:1" x14ac:dyDescent="0.35">
      <c r="A93" s="71"/>
    </row>
    <row r="94" spans="1:1" x14ac:dyDescent="0.35">
      <c r="A94" s="71"/>
    </row>
    <row r="95" spans="1:1" x14ac:dyDescent="0.35">
      <c r="A95" s="71"/>
    </row>
    <row r="96" spans="1:1" x14ac:dyDescent="0.35">
      <c r="A96" s="71"/>
    </row>
    <row r="97" spans="1:1" x14ac:dyDescent="0.35">
      <c r="A97" s="71"/>
    </row>
  </sheetData>
  <sheetProtection algorithmName="SHA-512" hashValue="j6gJbHVdDOq4px1T9j4+x2jmVaBpIuTu/oP8yhnHknHCBgcqObc+VQI2KM20/7EjRAwfrWLgg/SW8iRTKRn9DQ==" saltValue="Q1Rzb6hPKm7QeD1dpc+dDQ==" spinCount="100000" sheet="1" objects="1" scenarios="1"/>
  <mergeCells count="3">
    <mergeCell ref="A11:A12"/>
    <mergeCell ref="B11:B12"/>
    <mergeCell ref="C11:C12"/>
  </mergeCells>
  <hyperlinks>
    <hyperlink ref="B63" r:id="rId1" display="https://www.arb.ca.gov/regact/2015/lcfs2015/lcfsfinalregorder.pdf" xr:uid="{00000000-0004-0000-0D00-000000000000}"/>
    <hyperlink ref="B64" r:id="rId2" display="https://www.arb.ca.gov/regact/2015/lcfs2015/lcfsfinalregorder.pdf" xr:uid="{00000000-0004-0000-0D00-000001000000}"/>
    <hyperlink ref="B65" r:id="rId3" display="https://www.arb.ca.gov/regact/2015/lcfs2015/lcfsfinalregorder.pdf" xr:uid="{00000000-0004-0000-0D00-000002000000}"/>
    <hyperlink ref="B66" r:id="rId4" display="https://www.arb.ca.gov/regact/2015/lcfs2015/lcfsfinalregorder.pdf" xr:uid="{00000000-0004-0000-0D00-000003000000}"/>
    <hyperlink ref="B67" r:id="rId5" display="https://www.arb.ca.gov/regact/2015/lcfs2015/lcfsfinalregorder.pdf" xr:uid="{00000000-0004-0000-0D00-000004000000}"/>
    <hyperlink ref="B68" r:id="rId6" display="https://www.arb.ca.gov/regact/2015/lcfs2015/lcfsfinalregorder.pdf" xr:uid="{00000000-0004-0000-0D00-000005000000}"/>
    <hyperlink ref="B72" r:id="rId7" display="https://www.arb.ca.gov/fuels/lcfs/022709lcfs_cng.pdf" xr:uid="{00000000-0004-0000-0D00-000006000000}"/>
    <hyperlink ref="B78" r:id="rId8" display="http://www.deeresources.com/" xr:uid="{00000000-0004-0000-0D00-000007000000}"/>
  </hyperlinks>
  <pageMargins left="0.7" right="0.7" top="0.75" bottom="0.75" header="0.3" footer="0.3"/>
  <pageSetup scale="56" fitToHeight="0" orientation="landscape" r:id="rId9"/>
  <headerFooter>
    <oddFooter>&amp;LJanuary 11, 2017&amp;CPage &amp;[5 of &amp;[6&amp;RDefaults Tab</oddFooter>
  </headerFooter>
  <rowBreaks count="1" manualBreakCount="1">
    <brk id="54" max="6" man="1"/>
  </rowBreaks>
  <drawing r:id="rId1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35"/>
  <sheetViews>
    <sheetView showGridLines="0" zoomScale="96" zoomScaleNormal="96" zoomScalePageLayoutView="90" workbookViewId="0"/>
  </sheetViews>
  <sheetFormatPr defaultColWidth="9.1796875" defaultRowHeight="14.5" x14ac:dyDescent="0.35"/>
  <cols>
    <col min="1" max="1" width="74.1796875" style="2" customWidth="1"/>
    <col min="2" max="2" width="63.81640625" style="2" bestFit="1" customWidth="1"/>
    <col min="3" max="3" width="2.1796875" style="2" customWidth="1"/>
    <col min="4" max="4" width="150.54296875" style="2" bestFit="1" customWidth="1"/>
    <col min="5" max="16384" width="9.1796875" style="2"/>
  </cols>
  <sheetData>
    <row r="1" spans="1:4" ht="20" x14ac:dyDescent="0.4">
      <c r="A1" s="48"/>
      <c r="B1" s="102" t="s">
        <v>184</v>
      </c>
      <c r="C1" s="48"/>
      <c r="D1" s="55"/>
    </row>
    <row r="2" spans="1:4" ht="20" x14ac:dyDescent="0.4">
      <c r="A2" s="48"/>
      <c r="B2" s="104" t="s">
        <v>192</v>
      </c>
      <c r="C2" s="48"/>
      <c r="D2" s="56"/>
    </row>
    <row r="3" spans="1:4" ht="20" x14ac:dyDescent="0.4">
      <c r="A3" s="48"/>
      <c r="B3" s="104" t="s">
        <v>185</v>
      </c>
      <c r="C3" s="48"/>
      <c r="D3" s="56"/>
    </row>
    <row r="4" spans="1:4" ht="20" x14ac:dyDescent="0.4">
      <c r="A4" s="48"/>
      <c r="B4" s="105" t="s">
        <v>186</v>
      </c>
      <c r="C4" s="48"/>
      <c r="D4" s="50"/>
    </row>
    <row r="5" spans="1:4" ht="20" x14ac:dyDescent="0.4">
      <c r="A5" s="1"/>
      <c r="B5" s="105"/>
      <c r="C5" s="1"/>
      <c r="D5" s="50"/>
    </row>
    <row r="6" spans="1:4" ht="20" x14ac:dyDescent="0.4">
      <c r="A6" s="1"/>
      <c r="B6" s="105"/>
      <c r="C6" s="1"/>
      <c r="D6" s="50"/>
    </row>
    <row r="7" spans="1:4" ht="15.5" x14ac:dyDescent="0.35">
      <c r="A7" s="1"/>
      <c r="B7" s="1"/>
      <c r="C7" s="1"/>
      <c r="D7" s="54"/>
    </row>
    <row r="8" spans="1:4" x14ac:dyDescent="0.35">
      <c r="A8" s="1"/>
      <c r="B8" s="1"/>
      <c r="C8" s="1"/>
      <c r="D8" s="1"/>
    </row>
    <row r="9" spans="1:4" ht="15.5" x14ac:dyDescent="0.35">
      <c r="A9" s="47"/>
      <c r="B9" s="47"/>
      <c r="C9" s="47"/>
      <c r="D9" s="47"/>
    </row>
    <row r="10" spans="1:4" ht="17.5" x14ac:dyDescent="0.35">
      <c r="A10" s="1"/>
      <c r="B10" s="11" t="s">
        <v>11</v>
      </c>
      <c r="C10" s="23"/>
      <c r="D10" s="11" t="s">
        <v>39</v>
      </c>
    </row>
    <row r="11" spans="1:4" ht="17.5" x14ac:dyDescent="0.35">
      <c r="A11" s="204" t="s">
        <v>87</v>
      </c>
      <c r="B11" s="12" t="s">
        <v>141</v>
      </c>
      <c r="C11" s="18"/>
      <c r="D11" s="26" t="s">
        <v>144</v>
      </c>
    </row>
    <row r="12" spans="1:4" ht="17.5" x14ac:dyDescent="0.35">
      <c r="A12" s="205"/>
      <c r="B12" s="12" t="s">
        <v>142</v>
      </c>
      <c r="C12" s="18"/>
      <c r="D12" s="26" t="s">
        <v>143</v>
      </c>
    </row>
    <row r="13" spans="1:4" ht="17.5" x14ac:dyDescent="0.35">
      <c r="A13" s="205"/>
      <c r="B13" s="12" t="s">
        <v>132</v>
      </c>
      <c r="C13" s="18"/>
      <c r="D13" s="26" t="s">
        <v>145</v>
      </c>
    </row>
    <row r="14" spans="1:4" ht="17.5" x14ac:dyDescent="0.35">
      <c r="A14" s="205"/>
      <c r="B14" s="12" t="s">
        <v>12</v>
      </c>
      <c r="C14" s="18"/>
      <c r="D14" s="26" t="s">
        <v>146</v>
      </c>
    </row>
    <row r="15" spans="1:4" ht="17.5" x14ac:dyDescent="0.35">
      <c r="A15" s="205"/>
      <c r="B15" s="13" t="s">
        <v>14</v>
      </c>
      <c r="C15" s="15"/>
      <c r="D15" s="26" t="s">
        <v>88</v>
      </c>
    </row>
    <row r="16" spans="1:4" ht="17.5" x14ac:dyDescent="0.35">
      <c r="A16" s="206"/>
      <c r="B16" s="13" t="s">
        <v>15</v>
      </c>
      <c r="C16" s="15"/>
      <c r="D16" s="26" t="s">
        <v>115</v>
      </c>
    </row>
    <row r="17" spans="1:4" ht="7.5" customHeight="1" x14ac:dyDescent="0.35">
      <c r="A17" s="14"/>
      <c r="B17" s="15"/>
      <c r="C17" s="15"/>
      <c r="D17" s="16"/>
    </row>
    <row r="18" spans="1:4" ht="17.5" x14ac:dyDescent="0.35">
      <c r="A18" s="201" t="s">
        <v>16</v>
      </c>
      <c r="B18" s="12" t="s">
        <v>18</v>
      </c>
      <c r="C18" s="18"/>
      <c r="D18" s="27" t="s">
        <v>89</v>
      </c>
    </row>
    <row r="19" spans="1:4" ht="35" x14ac:dyDescent="0.35">
      <c r="A19" s="202"/>
      <c r="B19" s="12" t="s">
        <v>90</v>
      </c>
      <c r="C19" s="18"/>
      <c r="D19" s="28" t="s">
        <v>91</v>
      </c>
    </row>
    <row r="20" spans="1:4" ht="17.5" x14ac:dyDescent="0.35">
      <c r="A20" s="202"/>
      <c r="B20" s="12" t="s">
        <v>147</v>
      </c>
      <c r="C20" s="18"/>
      <c r="D20" s="27" t="s">
        <v>148</v>
      </c>
    </row>
    <row r="21" spans="1:4" ht="52.5" x14ac:dyDescent="0.35">
      <c r="A21" s="202"/>
      <c r="B21" s="66" t="s">
        <v>19</v>
      </c>
      <c r="C21" s="24"/>
      <c r="D21" s="28" t="s">
        <v>92</v>
      </c>
    </row>
    <row r="22" spans="1:4" ht="17.5" x14ac:dyDescent="0.35">
      <c r="A22" s="202"/>
      <c r="B22" s="67" t="s">
        <v>20</v>
      </c>
      <c r="C22" s="25"/>
      <c r="D22" s="27" t="s">
        <v>93</v>
      </c>
    </row>
    <row r="23" spans="1:4" ht="17.5" x14ac:dyDescent="0.35">
      <c r="A23" s="202"/>
      <c r="B23" s="67" t="s">
        <v>21</v>
      </c>
      <c r="C23" s="25"/>
      <c r="D23" s="27" t="s">
        <v>94</v>
      </c>
    </row>
    <row r="24" spans="1:4" ht="17.5" x14ac:dyDescent="0.35">
      <c r="A24" s="202"/>
      <c r="B24" s="67" t="s">
        <v>22</v>
      </c>
      <c r="C24" s="25"/>
      <c r="D24" s="27" t="s">
        <v>128</v>
      </c>
    </row>
    <row r="25" spans="1:4" ht="17.5" x14ac:dyDescent="0.35">
      <c r="A25" s="202"/>
      <c r="B25" s="12" t="s">
        <v>23</v>
      </c>
      <c r="C25" s="18"/>
      <c r="D25" s="27" t="s">
        <v>95</v>
      </c>
    </row>
    <row r="26" spans="1:4" ht="17.5" x14ac:dyDescent="0.35">
      <c r="A26" s="203"/>
      <c r="B26" s="12" t="s">
        <v>26</v>
      </c>
      <c r="C26" s="18"/>
      <c r="D26" s="27" t="s">
        <v>96</v>
      </c>
    </row>
    <row r="27" spans="1:4" ht="7.5" customHeight="1" x14ac:dyDescent="0.35">
      <c r="A27" s="17"/>
      <c r="B27" s="18"/>
      <c r="C27" s="18"/>
      <c r="D27" s="19"/>
    </row>
    <row r="28" spans="1:4" ht="17.5" x14ac:dyDescent="0.35">
      <c r="A28" s="199" t="s">
        <v>27</v>
      </c>
      <c r="B28" s="12" t="s">
        <v>28</v>
      </c>
      <c r="C28" s="18"/>
      <c r="D28" s="27" t="s">
        <v>97</v>
      </c>
    </row>
    <row r="29" spans="1:4" ht="35" x14ac:dyDescent="0.35">
      <c r="A29" s="200"/>
      <c r="B29" s="12" t="s">
        <v>29</v>
      </c>
      <c r="C29" s="18"/>
      <c r="D29" s="28" t="s">
        <v>98</v>
      </c>
    </row>
    <row r="30" spans="1:4" ht="8.25" customHeight="1" x14ac:dyDescent="0.35">
      <c r="A30" s="49"/>
      <c r="B30" s="20"/>
      <c r="C30" s="20"/>
      <c r="D30" s="21"/>
    </row>
    <row r="31" spans="1:4" ht="17.5" x14ac:dyDescent="0.35">
      <c r="A31" s="201" t="s">
        <v>30</v>
      </c>
      <c r="B31" s="12" t="s">
        <v>31</v>
      </c>
      <c r="C31" s="18"/>
      <c r="D31" s="27" t="s">
        <v>99</v>
      </c>
    </row>
    <row r="32" spans="1:4" ht="17.5" x14ac:dyDescent="0.35">
      <c r="A32" s="202"/>
      <c r="B32" s="12" t="s">
        <v>32</v>
      </c>
      <c r="C32" s="18"/>
      <c r="D32" s="27" t="s">
        <v>100</v>
      </c>
    </row>
    <row r="33" spans="1:4" ht="17.5" x14ac:dyDescent="0.35">
      <c r="A33" s="202"/>
      <c r="B33" s="13" t="s">
        <v>14</v>
      </c>
      <c r="C33" s="15"/>
      <c r="D33" s="26" t="s">
        <v>88</v>
      </c>
    </row>
    <row r="34" spans="1:4" ht="17.5" x14ac:dyDescent="0.35">
      <c r="A34" s="202"/>
      <c r="B34" s="22" t="s">
        <v>34</v>
      </c>
      <c r="C34" s="20"/>
      <c r="D34" s="27" t="s">
        <v>127</v>
      </c>
    </row>
    <row r="35" spans="1:4" ht="17.5" x14ac:dyDescent="0.35">
      <c r="A35" s="203"/>
      <c r="B35" s="13" t="s">
        <v>36</v>
      </c>
      <c r="C35" s="15"/>
      <c r="D35" s="26" t="s">
        <v>101</v>
      </c>
    </row>
  </sheetData>
  <sheetProtection algorithmName="SHA-512" hashValue="cipYbayho1MyQCLFlIWhT+l7WjbRGjDUvCSW6UH8Y+Q0QX4evdQo18TBZ++WYucMJIz3cNSxfPjVXzPQ7GBA0g==" saltValue="78H/q0qopr306Ov/ULDmlA==" spinCount="100000" sheet="1" objects="1" scenarios="1"/>
  <mergeCells count="4">
    <mergeCell ref="A28:A29"/>
    <mergeCell ref="A31:A35"/>
    <mergeCell ref="A18:A26"/>
    <mergeCell ref="A11:A16"/>
  </mergeCells>
  <pageMargins left="0.7" right="0.7" top="0.75" bottom="0.75" header="0.3" footer="0.3"/>
  <pageSetup scale="42" fitToHeight="0" orientation="landscape" r:id="rId1"/>
  <headerFooter>
    <oddFooter>&amp;LJanuary 11, 2017&amp;CPage &amp;[6 of &amp;[6&amp;RDefinitions Tab</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36"/>
  <sheetViews>
    <sheetView showGridLines="0" zoomScaleNormal="100" workbookViewId="0">
      <selection activeCell="C21" sqref="C21"/>
    </sheetView>
  </sheetViews>
  <sheetFormatPr defaultColWidth="9.1796875" defaultRowHeight="14.5" x14ac:dyDescent="0.35"/>
  <cols>
    <col min="1" max="1" width="54.1796875" style="103" customWidth="1"/>
    <col min="2" max="2" width="47.81640625" style="103" customWidth="1"/>
    <col min="3" max="3" width="48.81640625" style="103" customWidth="1"/>
    <col min="4" max="16384" width="9.1796875" style="103"/>
  </cols>
  <sheetData>
    <row r="1" spans="1:3" ht="17.5" x14ac:dyDescent="0.35">
      <c r="A1" s="101"/>
      <c r="B1" s="102" t="s">
        <v>184</v>
      </c>
      <c r="C1" s="101"/>
    </row>
    <row r="2" spans="1:3" ht="17.5" x14ac:dyDescent="0.35">
      <c r="A2" s="101"/>
      <c r="B2" s="104" t="s">
        <v>192</v>
      </c>
      <c r="C2" s="101"/>
    </row>
    <row r="3" spans="1:3" ht="17.5" x14ac:dyDescent="0.35">
      <c r="A3" s="101"/>
      <c r="B3" s="104" t="s">
        <v>185</v>
      </c>
      <c r="C3" s="101"/>
    </row>
    <row r="4" spans="1:3" ht="17.5" x14ac:dyDescent="0.35">
      <c r="A4" s="101"/>
      <c r="B4" s="105" t="s">
        <v>186</v>
      </c>
      <c r="C4" s="101"/>
    </row>
    <row r="5" spans="1:3" ht="17.5" x14ac:dyDescent="0.35">
      <c r="A5" s="101"/>
      <c r="B5" s="105"/>
      <c r="C5" s="101"/>
    </row>
    <row r="6" spans="1:3" ht="17.5" x14ac:dyDescent="0.35">
      <c r="A6" s="101"/>
      <c r="B6" s="105"/>
      <c r="C6" s="101"/>
    </row>
    <row r="7" spans="1:3" ht="17.5" x14ac:dyDescent="0.35">
      <c r="A7" s="101"/>
      <c r="B7" s="105"/>
      <c r="C7" s="101"/>
    </row>
    <row r="8" spans="1:3" x14ac:dyDescent="0.35">
      <c r="A8" s="101"/>
      <c r="B8" s="101"/>
      <c r="C8" s="101"/>
    </row>
    <row r="9" spans="1:3" x14ac:dyDescent="0.35">
      <c r="A9" s="101"/>
      <c r="B9" s="101"/>
      <c r="C9" s="101"/>
    </row>
    <row r="10" spans="1:3" x14ac:dyDescent="0.35">
      <c r="A10" s="101"/>
      <c r="B10" s="101"/>
      <c r="C10" s="101"/>
    </row>
    <row r="11" spans="1:3" ht="20.149999999999999" customHeight="1" x14ac:dyDescent="0.35">
      <c r="A11" s="175" t="s">
        <v>10</v>
      </c>
      <c r="B11" s="176"/>
      <c r="C11" s="101"/>
    </row>
    <row r="12" spans="1:3" ht="15" x14ac:dyDescent="0.35">
      <c r="A12" s="117" t="s">
        <v>11</v>
      </c>
      <c r="B12" s="118" t="s">
        <v>112</v>
      </c>
      <c r="C12" s="101"/>
    </row>
    <row r="13" spans="1:3" ht="15" x14ac:dyDescent="0.35">
      <c r="A13" s="119" t="s">
        <v>149</v>
      </c>
      <c r="B13" s="65"/>
      <c r="C13" s="101"/>
    </row>
    <row r="14" spans="1:3" ht="15" x14ac:dyDescent="0.35">
      <c r="A14" s="119" t="s">
        <v>132</v>
      </c>
      <c r="B14" s="150"/>
      <c r="C14" s="101"/>
    </row>
    <row r="15" spans="1:3" ht="15" x14ac:dyDescent="0.35">
      <c r="A15" s="119" t="s">
        <v>12</v>
      </c>
      <c r="B15" s="65"/>
      <c r="C15" s="101"/>
    </row>
    <row r="16" spans="1:3" ht="15.5" x14ac:dyDescent="0.35">
      <c r="A16" s="120" t="s">
        <v>14</v>
      </c>
      <c r="B16" s="33" t="e">
        <f>VLOOKUP(B15,Defaults!A13:B20,2,FALSE)</f>
        <v>#N/A</v>
      </c>
      <c r="C16" s="101"/>
    </row>
    <row r="17" spans="1:5" ht="15" x14ac:dyDescent="0.35">
      <c r="A17" s="172" t="s">
        <v>131</v>
      </c>
      <c r="B17" s="173"/>
      <c r="C17" s="174"/>
    </row>
    <row r="18" spans="1:5" ht="15" x14ac:dyDescent="0.35">
      <c r="A18" s="117" t="s">
        <v>11</v>
      </c>
      <c r="B18" s="121" t="s">
        <v>112</v>
      </c>
      <c r="C18" s="122" t="s">
        <v>17</v>
      </c>
    </row>
    <row r="19" spans="1:5" ht="15" x14ac:dyDescent="0.35">
      <c r="A19" s="123" t="s">
        <v>18</v>
      </c>
      <c r="B19" s="150"/>
      <c r="C19" s="150"/>
    </row>
    <row r="20" spans="1:5" ht="30" x14ac:dyDescent="0.35">
      <c r="A20" s="124" t="s">
        <v>154</v>
      </c>
      <c r="B20" s="150"/>
      <c r="C20" s="150"/>
    </row>
    <row r="21" spans="1:5" ht="15" x14ac:dyDescent="0.35">
      <c r="A21" s="123" t="s">
        <v>147</v>
      </c>
      <c r="B21" s="151"/>
      <c r="C21" s="151"/>
    </row>
    <row r="22" spans="1:5" ht="15.5" x14ac:dyDescent="0.35">
      <c r="A22" s="125" t="s">
        <v>19</v>
      </c>
      <c r="B22" s="126" t="s">
        <v>134</v>
      </c>
      <c r="C22" s="126" t="s">
        <v>134</v>
      </c>
    </row>
    <row r="23" spans="1:5" ht="15" x14ac:dyDescent="0.35">
      <c r="A23" s="127" t="s">
        <v>20</v>
      </c>
      <c r="B23" s="65"/>
      <c r="C23" s="65"/>
    </row>
    <row r="24" spans="1:5" ht="15" x14ac:dyDescent="0.35">
      <c r="A24" s="127" t="s">
        <v>21</v>
      </c>
      <c r="B24" s="65"/>
      <c r="C24" s="65"/>
    </row>
    <row r="25" spans="1:5" ht="15" x14ac:dyDescent="0.35">
      <c r="A25" s="127" t="s">
        <v>102</v>
      </c>
      <c r="B25" s="65"/>
      <c r="C25" s="65"/>
    </row>
    <row r="26" spans="1:5" ht="15.5" x14ac:dyDescent="0.35">
      <c r="A26" s="123" t="s">
        <v>23</v>
      </c>
      <c r="B26" s="69" t="s">
        <v>24</v>
      </c>
      <c r="C26" s="65"/>
    </row>
    <row r="27" spans="1:5" ht="15" x14ac:dyDescent="0.35">
      <c r="A27" s="172" t="s">
        <v>27</v>
      </c>
      <c r="B27" s="173"/>
      <c r="C27" s="174"/>
    </row>
    <row r="28" spans="1:5" ht="20.149999999999999" customHeight="1" x14ac:dyDescent="0.35">
      <c r="A28" s="117" t="s">
        <v>11</v>
      </c>
      <c r="B28" s="121" t="s">
        <v>112</v>
      </c>
      <c r="C28" s="122" t="s">
        <v>17</v>
      </c>
      <c r="E28" s="128"/>
    </row>
    <row r="29" spans="1:5" ht="15.5" x14ac:dyDescent="0.35">
      <c r="A29" s="129" t="s">
        <v>182</v>
      </c>
      <c r="B29" s="69" t="s">
        <v>24</v>
      </c>
      <c r="C29" s="152"/>
      <c r="D29" s="130"/>
    </row>
    <row r="30" spans="1:5" ht="15" x14ac:dyDescent="0.35">
      <c r="A30" s="172" t="s">
        <v>113</v>
      </c>
      <c r="B30" s="173"/>
      <c r="C30" s="174"/>
    </row>
    <row r="31" spans="1:5" ht="20.149999999999999" customHeight="1" x14ac:dyDescent="0.35">
      <c r="A31" s="131" t="s">
        <v>11</v>
      </c>
      <c r="B31" s="132"/>
      <c r="C31" s="133" t="s">
        <v>17</v>
      </c>
    </row>
    <row r="32" spans="1:5" ht="15" x14ac:dyDescent="0.35">
      <c r="A32" s="123" t="s">
        <v>31</v>
      </c>
      <c r="B32" s="134"/>
      <c r="C32" s="150"/>
    </row>
    <row r="33" spans="1:3" ht="15" x14ac:dyDescent="0.35">
      <c r="A33" s="123" t="s">
        <v>32</v>
      </c>
      <c r="B33" s="134"/>
      <c r="C33" s="65"/>
    </row>
    <row r="34" spans="1:3" ht="15.5" x14ac:dyDescent="0.35">
      <c r="A34" s="135" t="s">
        <v>14</v>
      </c>
      <c r="B34" s="134"/>
      <c r="C34" s="69" t="e">
        <f>VLOOKUP(C33,Defaults!A13:B20,2, FALSE)</f>
        <v>#N/A</v>
      </c>
    </row>
    <row r="35" spans="1:3" ht="15" x14ac:dyDescent="0.35">
      <c r="A35" s="124" t="s">
        <v>34</v>
      </c>
      <c r="B35" s="134"/>
      <c r="C35" s="65"/>
    </row>
    <row r="36" spans="1:3" ht="15.5" x14ac:dyDescent="0.35">
      <c r="A36" s="135" t="s">
        <v>36</v>
      </c>
      <c r="B36" s="136"/>
      <c r="C36" s="69" t="e">
        <f>VLOOKUP(C35,Defaults!A33:B53, 2,FALSE)</f>
        <v>#N/A</v>
      </c>
    </row>
  </sheetData>
  <sheetProtection algorithmName="SHA-512" hashValue="9dp36mtV4vALyLnYy26sXr2h/osZG7pFWAJLsgYI7+Lx6Wf9IWNp1g4X8PM4+g76sbQjVvBW/Bp9c1yBFCe4gw==" saltValue="IJfAlkCrDy+wT9l5+vUsxw==" spinCount="100000" sheet="1" objects="1" scenarios="1"/>
  <mergeCells count="4">
    <mergeCell ref="A17:C17"/>
    <mergeCell ref="A27:C27"/>
    <mergeCell ref="A30:C30"/>
    <mergeCell ref="A11:B11"/>
  </mergeCells>
  <dataValidations count="5">
    <dataValidation type="decimal" allowBlank="1" showInputMessage="1" showErrorMessage="1" error="Entry must be between 0 and 100%" promptTitle="SWEEP Water Savings Tool" prompt="Water savings value is obtained from the SWEEP Water Savings Tool, cell F6" sqref="C29" xr:uid="{00000000-0002-0000-0100-000000000000}">
      <formula1>0</formula1>
      <formula2>1</formula2>
    </dataValidation>
    <dataValidation type="decimal" allowBlank="1" showInputMessage="1" showErrorMessage="1" error="Entry must be between 0 and 100%" sqref="B21:C21" xr:uid="{00000000-0002-0000-01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100-000002000000}"/>
    <dataValidation allowBlank="1" showInputMessage="1" showErrorMessage="1" promptTitle="Renewable Energy" prompt="If installing renewable energy, select the new fuel type as electricity and select the appropriate fuel conversion in the field below." sqref="C32" xr:uid="{00000000-0002-0000-0100-000003000000}"/>
    <dataValidation allowBlank="1" showInputMessage="1" showErrorMessage="1" promptTitle="Friction Losses" prompt="Default value is 10 ft for well pump or 5 feet for booster pump." sqref="B25" xr:uid="{00000000-0002-0000-0100-000004000000}"/>
  </dataValidations>
  <hyperlinks>
    <hyperlink ref="A29" r:id="rId1" xr:uid="{00000000-0004-0000-0100-000000000000}"/>
  </hyperlinks>
  <pageMargins left="0.7" right="0.7" top="0.75" bottom="0.75" header="0.3" footer="0.3"/>
  <pageSetup scale="81" fitToHeight="0" orientation="landscape" r:id="rId2"/>
  <headerFooter>
    <oddFooter>&amp;LJanuary 11, 2017&amp;CPage &amp;[2 (a) of &amp;[6&amp;RInputs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1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1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1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100-000008000000}">
          <x14:formula1>
            <xm:f>Defaults!$A$33:$A$53</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42"/>
  <sheetViews>
    <sheetView showGridLines="0" zoomScaleNormal="100" workbookViewId="0"/>
  </sheetViews>
  <sheetFormatPr defaultColWidth="9.1796875" defaultRowHeight="14.5" x14ac:dyDescent="0.35"/>
  <cols>
    <col min="1" max="1" width="55.81640625" style="137" customWidth="1"/>
    <col min="2" max="2" width="53" style="137" customWidth="1"/>
    <col min="3" max="3" width="47.81640625" style="137" customWidth="1"/>
    <col min="4" max="16384" width="9.1796875" style="137"/>
  </cols>
  <sheetData>
    <row r="1" spans="1:5" ht="17.5" x14ac:dyDescent="0.35">
      <c r="A1" s="6"/>
      <c r="B1" s="102" t="s">
        <v>184</v>
      </c>
      <c r="C1" s="6"/>
      <c r="D1" s="103"/>
      <c r="E1" s="103"/>
    </row>
    <row r="2" spans="1:5" ht="17.5" x14ac:dyDescent="0.35">
      <c r="A2" s="6"/>
      <c r="B2" s="104" t="s">
        <v>192</v>
      </c>
      <c r="C2" s="6"/>
      <c r="D2" s="103"/>
      <c r="E2" s="103"/>
    </row>
    <row r="3" spans="1:5" ht="17.5" x14ac:dyDescent="0.35">
      <c r="A3" s="6"/>
      <c r="B3" s="104" t="s">
        <v>185</v>
      </c>
      <c r="C3" s="6"/>
      <c r="D3" s="103"/>
      <c r="E3" s="103"/>
    </row>
    <row r="4" spans="1:5" ht="17.5" x14ac:dyDescent="0.35">
      <c r="A4" s="6"/>
      <c r="B4" s="105" t="s">
        <v>186</v>
      </c>
      <c r="C4" s="6"/>
      <c r="D4" s="103"/>
      <c r="E4" s="103"/>
    </row>
    <row r="5" spans="1:5" ht="17.5" x14ac:dyDescent="0.35">
      <c r="A5" s="6"/>
      <c r="B5" s="105"/>
      <c r="C5" s="6"/>
      <c r="D5" s="103"/>
      <c r="E5" s="103"/>
    </row>
    <row r="6" spans="1:5" ht="17.5" x14ac:dyDescent="0.35">
      <c r="A6" s="6"/>
      <c r="B6" s="105"/>
      <c r="C6" s="6"/>
      <c r="D6" s="103"/>
      <c r="E6" s="103"/>
    </row>
    <row r="7" spans="1:5" ht="17.5" x14ac:dyDescent="0.35">
      <c r="A7" s="6"/>
      <c r="B7" s="105"/>
      <c r="C7" s="6"/>
      <c r="D7" s="103"/>
      <c r="E7" s="103"/>
    </row>
    <row r="8" spans="1:5" x14ac:dyDescent="0.35">
      <c r="A8" s="6"/>
      <c r="B8" s="6"/>
      <c r="C8" s="6"/>
      <c r="D8" s="103"/>
      <c r="E8" s="103"/>
    </row>
    <row r="9" spans="1:5" x14ac:dyDescent="0.35">
      <c r="A9" s="138" t="s">
        <v>129</v>
      </c>
      <c r="B9" s="6"/>
      <c r="C9" s="6"/>
      <c r="D9" s="103"/>
      <c r="E9" s="103"/>
    </row>
    <row r="10" spans="1:5" x14ac:dyDescent="0.35">
      <c r="A10" s="6"/>
      <c r="B10" s="6"/>
      <c r="C10" s="6"/>
      <c r="D10" s="103"/>
      <c r="E10" s="103"/>
    </row>
    <row r="11" spans="1:5" ht="15" x14ac:dyDescent="0.35">
      <c r="A11" s="175" t="s">
        <v>10</v>
      </c>
      <c r="B11" s="176"/>
      <c r="C11" s="6"/>
      <c r="D11" s="103"/>
      <c r="E11" s="103"/>
    </row>
    <row r="12" spans="1:5" ht="15" x14ac:dyDescent="0.35">
      <c r="A12" s="117" t="s">
        <v>11</v>
      </c>
      <c r="B12" s="118" t="s">
        <v>112</v>
      </c>
      <c r="C12" s="6"/>
      <c r="D12" s="103"/>
      <c r="E12" s="103"/>
    </row>
    <row r="13" spans="1:5" s="103" customFormat="1" ht="15.5" x14ac:dyDescent="0.35">
      <c r="A13" s="119" t="s">
        <v>149</v>
      </c>
      <c r="B13" s="10"/>
      <c r="C13" s="101"/>
    </row>
    <row r="14" spans="1:5" ht="15.5" x14ac:dyDescent="0.35">
      <c r="A14" s="119" t="s">
        <v>132</v>
      </c>
      <c r="B14" s="59"/>
      <c r="C14" s="6"/>
      <c r="D14" s="103"/>
      <c r="E14" s="103"/>
    </row>
    <row r="15" spans="1:5" ht="15.5" x14ac:dyDescent="0.35">
      <c r="A15" s="119" t="s">
        <v>12</v>
      </c>
      <c r="B15" s="10"/>
      <c r="C15" s="6"/>
      <c r="D15" s="103"/>
      <c r="E15" s="103"/>
    </row>
    <row r="16" spans="1:5" ht="15.5" x14ac:dyDescent="0.35">
      <c r="A16" s="120" t="s">
        <v>14</v>
      </c>
      <c r="B16" s="33" t="e">
        <f>VLOOKUP(B15,Defaults!A13:B20,2,FALSE)</f>
        <v>#N/A</v>
      </c>
      <c r="C16" s="6"/>
      <c r="D16" s="103"/>
      <c r="E16" s="103"/>
    </row>
    <row r="17" spans="1:5" ht="15" x14ac:dyDescent="0.35">
      <c r="A17" s="172" t="s">
        <v>131</v>
      </c>
      <c r="B17" s="173"/>
      <c r="C17" s="174"/>
      <c r="D17" s="103"/>
      <c r="E17" s="103"/>
    </row>
    <row r="18" spans="1:5" ht="15" x14ac:dyDescent="0.35">
      <c r="A18" s="117" t="s">
        <v>11</v>
      </c>
      <c r="B18" s="121" t="s">
        <v>112</v>
      </c>
      <c r="C18" s="122" t="s">
        <v>17</v>
      </c>
      <c r="D18" s="103"/>
      <c r="E18" s="103"/>
    </row>
    <row r="19" spans="1:5" ht="15.5" x14ac:dyDescent="0.35">
      <c r="A19" s="123" t="s">
        <v>18</v>
      </c>
      <c r="B19" s="59"/>
      <c r="C19" s="59"/>
      <c r="D19" s="103"/>
      <c r="E19" s="103"/>
    </row>
    <row r="20" spans="1:5" ht="30" x14ac:dyDescent="0.35">
      <c r="A20" s="124" t="s">
        <v>153</v>
      </c>
      <c r="B20" s="59"/>
      <c r="C20" s="59"/>
      <c r="D20" s="103"/>
      <c r="E20" s="103"/>
    </row>
    <row r="21" spans="1:5" ht="15.5" x14ac:dyDescent="0.35">
      <c r="A21" s="123" t="s">
        <v>147</v>
      </c>
      <c r="B21" s="61"/>
      <c r="C21" s="61"/>
      <c r="D21" s="103"/>
      <c r="E21" s="103"/>
    </row>
    <row r="22" spans="1:5" ht="15.5" x14ac:dyDescent="0.35">
      <c r="A22" s="125" t="s">
        <v>19</v>
      </c>
      <c r="B22" s="126" t="s">
        <v>134</v>
      </c>
      <c r="C22" s="126" t="s">
        <v>134</v>
      </c>
      <c r="D22" s="103"/>
      <c r="E22" s="103"/>
    </row>
    <row r="23" spans="1:5" ht="15.5" x14ac:dyDescent="0.35">
      <c r="A23" s="127" t="s">
        <v>20</v>
      </c>
      <c r="B23" s="10"/>
      <c r="C23" s="10"/>
      <c r="D23" s="103"/>
      <c r="E23" s="103"/>
    </row>
    <row r="24" spans="1:5" ht="15.5" x14ac:dyDescent="0.35">
      <c r="A24" s="127" t="s">
        <v>21</v>
      </c>
      <c r="B24" s="10"/>
      <c r="C24" s="10"/>
      <c r="D24" s="103"/>
      <c r="E24" s="103"/>
    </row>
    <row r="25" spans="1:5" ht="15.5" x14ac:dyDescent="0.35">
      <c r="A25" s="127" t="s">
        <v>102</v>
      </c>
      <c r="B25" s="10"/>
      <c r="C25" s="10"/>
      <c r="D25" s="103"/>
      <c r="E25" s="103"/>
    </row>
    <row r="26" spans="1:5" ht="15.5" x14ac:dyDescent="0.35">
      <c r="A26" s="123" t="s">
        <v>23</v>
      </c>
      <c r="B26" s="69" t="s">
        <v>24</v>
      </c>
      <c r="C26" s="10"/>
      <c r="D26" s="103"/>
      <c r="E26" s="103"/>
    </row>
    <row r="27" spans="1:5" ht="15" x14ac:dyDescent="0.35">
      <c r="A27" s="172" t="s">
        <v>27</v>
      </c>
      <c r="B27" s="173"/>
      <c r="C27" s="174"/>
      <c r="D27" s="103"/>
      <c r="E27" s="103"/>
    </row>
    <row r="28" spans="1:5" ht="15" x14ac:dyDescent="0.35">
      <c r="A28" s="117" t="s">
        <v>11</v>
      </c>
      <c r="B28" s="121" t="s">
        <v>112</v>
      </c>
      <c r="C28" s="122" t="s">
        <v>17</v>
      </c>
      <c r="D28" s="103"/>
      <c r="E28" s="103"/>
    </row>
    <row r="29" spans="1:5" ht="15.5" x14ac:dyDescent="0.35">
      <c r="A29" s="129" t="s">
        <v>182</v>
      </c>
      <c r="B29" s="69" t="s">
        <v>24</v>
      </c>
      <c r="C29" s="60"/>
      <c r="D29" s="103"/>
      <c r="E29" s="103"/>
    </row>
    <row r="30" spans="1:5" ht="15" x14ac:dyDescent="0.35">
      <c r="A30" s="172" t="s">
        <v>113</v>
      </c>
      <c r="B30" s="173"/>
      <c r="C30" s="174"/>
      <c r="D30" s="103"/>
      <c r="E30" s="103"/>
    </row>
    <row r="31" spans="1:5" ht="15" x14ac:dyDescent="0.35">
      <c r="A31" s="131" t="s">
        <v>11</v>
      </c>
      <c r="B31" s="132"/>
      <c r="C31" s="133" t="s">
        <v>17</v>
      </c>
      <c r="D31" s="103"/>
      <c r="E31" s="103"/>
    </row>
    <row r="32" spans="1:5" ht="15.5" x14ac:dyDescent="0.35">
      <c r="A32" s="123" t="s">
        <v>31</v>
      </c>
      <c r="B32" s="134"/>
      <c r="C32" s="59"/>
      <c r="D32" s="103"/>
      <c r="E32" s="103"/>
    </row>
    <row r="33" spans="1:5" ht="15.5" x14ac:dyDescent="0.35">
      <c r="A33" s="123" t="s">
        <v>32</v>
      </c>
      <c r="B33" s="134"/>
      <c r="C33" s="10"/>
      <c r="D33" s="103"/>
      <c r="E33" s="103"/>
    </row>
    <row r="34" spans="1:5" ht="15.5" x14ac:dyDescent="0.35">
      <c r="A34" s="135" t="s">
        <v>14</v>
      </c>
      <c r="B34" s="134"/>
      <c r="C34" s="69" t="e">
        <f>VLOOKUP(C33,Defaults!A13:B20,2, FALSE)</f>
        <v>#N/A</v>
      </c>
      <c r="D34" s="103"/>
      <c r="E34" s="103"/>
    </row>
    <row r="35" spans="1:5" ht="15.5" x14ac:dyDescent="0.35">
      <c r="A35" s="124" t="s">
        <v>34</v>
      </c>
      <c r="B35" s="134"/>
      <c r="C35" s="10" t="s">
        <v>78</v>
      </c>
      <c r="D35" s="103"/>
      <c r="E35" s="103"/>
    </row>
    <row r="36" spans="1:5" ht="15.5" x14ac:dyDescent="0.35">
      <c r="A36" s="135" t="s">
        <v>36</v>
      </c>
      <c r="B36" s="136"/>
      <c r="C36" s="69">
        <f>VLOOKUP(C35,Defaults!A33:B53, 2,FALSE)</f>
        <v>1</v>
      </c>
      <c r="D36" s="103"/>
      <c r="E36" s="103"/>
    </row>
    <row r="37" spans="1:5" x14ac:dyDescent="0.35">
      <c r="A37" s="103"/>
      <c r="B37" s="103"/>
      <c r="C37" s="103"/>
      <c r="D37" s="103"/>
      <c r="E37" s="103"/>
    </row>
    <row r="38" spans="1:5" x14ac:dyDescent="0.35">
      <c r="A38" s="103"/>
      <c r="B38" s="103"/>
      <c r="C38" s="103"/>
      <c r="D38" s="103"/>
      <c r="E38" s="103"/>
    </row>
    <row r="39" spans="1:5" x14ac:dyDescent="0.35">
      <c r="A39" s="103"/>
      <c r="B39" s="103"/>
      <c r="C39" s="103"/>
      <c r="D39" s="103"/>
      <c r="E39" s="103"/>
    </row>
    <row r="40" spans="1:5" x14ac:dyDescent="0.35">
      <c r="A40" s="103"/>
      <c r="B40" s="103"/>
      <c r="C40" s="103"/>
      <c r="D40" s="103"/>
      <c r="E40" s="103"/>
    </row>
    <row r="41" spans="1:5" x14ac:dyDescent="0.35">
      <c r="A41" s="103"/>
      <c r="B41" s="103"/>
      <c r="C41" s="103"/>
      <c r="D41" s="103"/>
      <c r="E41" s="103"/>
    </row>
    <row r="42" spans="1:5" x14ac:dyDescent="0.35">
      <c r="A42" s="103"/>
      <c r="B42" s="103"/>
      <c r="C42" s="103"/>
      <c r="D42" s="103"/>
      <c r="E42" s="103"/>
    </row>
  </sheetData>
  <sheetProtection algorithmName="SHA-512" hashValue="KcmQEwKEuFAHuoSRRNGy0ob34giIeAEb0w3nWZ5N9JkIzn+StwA1UZ3ebbLar1vLyyLR6DTm7C2VNbKzizapug==" saltValue="Q1xVrxBx+pgkPZXiVWm6JA==" spinCount="100000" sheet="1" objects="1" scenarios="1"/>
  <mergeCells count="4">
    <mergeCell ref="A11:B11"/>
    <mergeCell ref="A17:C17"/>
    <mergeCell ref="A27:C27"/>
    <mergeCell ref="A30:C30"/>
  </mergeCells>
  <dataValidations count="5">
    <dataValidation allowBlank="1" showInputMessage="1" showErrorMessage="1" promptTitle="Renewable Energy" prompt="If installing renewable energy, select the new fuel type as electricity and select the appropriate fuel conversion in the field below." sqref="C32" xr:uid="{00000000-0002-0000-0200-000000000000}"/>
    <dataValidation allowBlank="1" showInputMessage="1" showErrorMessage="1" promptTitle="Friction Losses" prompt="Enter in appliacable friction losses if known. Default value is 10 ft for well pump or 5 feet for booster pump. " sqref="C25" xr:uid="{00000000-0002-0000-0200-000001000000}"/>
    <dataValidation type="decimal" allowBlank="1" showInputMessage="1" showErrorMessage="1" error="Entry must be between 0 and 100%" sqref="B21:C21" xr:uid="{00000000-0002-0000-0200-000002000000}">
      <formula1>0</formula1>
      <formula2>1</formula2>
    </dataValidation>
    <dataValidation type="decimal" allowBlank="1" showInputMessage="1" showErrorMessage="1" error="Entry must be between 0 and 100%" promptTitle=" SWEEP Water Savings Tool" prompt="Water savings value is obtained from the SWEEP Water Savings Tool, cell F6" sqref="C29" xr:uid="{00000000-0002-0000-0200-000003000000}">
      <formula1>0</formula1>
      <formula2>1</formula2>
    </dataValidation>
    <dataValidation allowBlank="1" showInputMessage="1" showErrorMessage="1" promptTitle="Friction Losses" prompt="Default value is 10 ft for well pump or 5 feet for booster pump." sqref="B25" xr:uid="{00000000-0002-0000-0200-000004000000}"/>
  </dataValidations>
  <hyperlinks>
    <hyperlink ref="A29" r:id="rId1" xr:uid="{00000000-0004-0000-0200-000000000000}"/>
  </hyperlinks>
  <pageMargins left="0.25" right="0.25" top="0.75" bottom="0.75" header="0.3" footer="0.3"/>
  <pageSetup scale="85" fitToHeight="0" orientation="landscape" r:id="rId2"/>
  <headerFooter>
    <oddFooter>&amp;LJanuary 11, 2017&amp;CPage 2 (b)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Fuel Conversion" prompt="Please select the appropriate fuel conversion. If there is No Fuel Conversion, please select &quot;No Change&quot; from the drop down menu" xr:uid="{00000000-0002-0000-0200-000005000000}">
          <x14:formula1>
            <xm:f>Defaults!$A$33:$A$53</xm:f>
          </x14:formula1>
          <xm:sqref>C35</xm:sqref>
        </x14:dataValidation>
        <x14:dataValidation type="list" allowBlank="1" showInputMessage="1" showErrorMessage="1" promptTitle="Fuel Type" prompt="Please select current fuel type used from the drop down menu_x000a_" xr:uid="{00000000-0002-0000-0200-000006000000}">
          <x14:formula1>
            <xm:f>Defaults!$A$13:$A$20</xm:f>
          </x14:formula1>
          <xm:sqref>B15</xm:sqref>
        </x14:dataValidation>
        <x14:dataValidation type="list" allowBlank="1" showInputMessage="1" showErrorMessage="1" promptTitle="VFD Selection" prompt="Please select appropriate VFD scenario from the drop down menu_x000a__x000a_" xr:uid="{00000000-0002-0000-0200-000007000000}">
          <x14:formula1>
            <xm:f>Defaults!$F$14:$F$17</xm:f>
          </x14:formula1>
          <xm:sqref>C26</xm:sqref>
        </x14:dataValidation>
        <x14:dataValidation type="list" allowBlank="1" showInputMessage="1" showErrorMessage="1" promptTitle="New fuel type" prompt="Please select the new fuel type used as a result of a fuel conversion. If there is No Change to fuel type, please select the current fuel type used" xr:uid="{00000000-0002-0000-0200-000008000000}">
          <x14:formula1>
            <xm:f>Defaults!$A$13:$A$20</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C38"/>
  <sheetViews>
    <sheetView showGridLines="0" zoomScaleNormal="100" workbookViewId="0"/>
  </sheetViews>
  <sheetFormatPr defaultColWidth="9.1796875" defaultRowHeight="14.5" x14ac:dyDescent="0.35"/>
  <cols>
    <col min="1" max="1" width="57" style="137" customWidth="1"/>
    <col min="2" max="2" width="47.1796875" style="137" customWidth="1"/>
    <col min="3" max="3" width="48.81640625" style="137" customWidth="1"/>
    <col min="4" max="16384" width="9.1796875" style="137"/>
  </cols>
  <sheetData>
    <row r="1" spans="1:3" ht="17.5" x14ac:dyDescent="0.35">
      <c r="A1" s="6"/>
      <c r="B1" s="102" t="s">
        <v>184</v>
      </c>
      <c r="C1" s="6"/>
    </row>
    <row r="2" spans="1:3" ht="17.5" x14ac:dyDescent="0.35">
      <c r="A2" s="6"/>
      <c r="B2" s="104" t="s">
        <v>192</v>
      </c>
      <c r="C2" s="6"/>
    </row>
    <row r="3" spans="1:3" ht="17.5" x14ac:dyDescent="0.35">
      <c r="A3" s="6"/>
      <c r="B3" s="104" t="s">
        <v>185</v>
      </c>
      <c r="C3" s="6"/>
    </row>
    <row r="4" spans="1:3" ht="17.5" x14ac:dyDescent="0.35">
      <c r="A4" s="6"/>
      <c r="B4" s="105" t="s">
        <v>186</v>
      </c>
      <c r="C4" s="6"/>
    </row>
    <row r="5" spans="1:3" ht="17.5" x14ac:dyDescent="0.35">
      <c r="A5" s="6"/>
      <c r="B5" s="105"/>
      <c r="C5" s="6"/>
    </row>
    <row r="6" spans="1:3" ht="17.5" x14ac:dyDescent="0.35">
      <c r="A6" s="6"/>
      <c r="B6" s="105"/>
      <c r="C6" s="6"/>
    </row>
    <row r="7" spans="1:3" ht="17.5" x14ac:dyDescent="0.35">
      <c r="A7" s="6"/>
      <c r="B7" s="105"/>
      <c r="C7" s="6"/>
    </row>
    <row r="8" spans="1:3" x14ac:dyDescent="0.35">
      <c r="A8" s="6"/>
      <c r="B8" s="6"/>
      <c r="C8" s="6"/>
    </row>
    <row r="9" spans="1:3" x14ac:dyDescent="0.35">
      <c r="A9" s="138" t="s">
        <v>129</v>
      </c>
      <c r="B9" s="6"/>
      <c r="C9" s="6"/>
    </row>
    <row r="10" spans="1:3" x14ac:dyDescent="0.35">
      <c r="A10" s="6"/>
      <c r="B10" s="6"/>
      <c r="C10" s="6"/>
    </row>
    <row r="11" spans="1:3" ht="15" x14ac:dyDescent="0.35">
      <c r="A11" s="175" t="s">
        <v>10</v>
      </c>
      <c r="B11" s="176"/>
      <c r="C11" s="6"/>
    </row>
    <row r="12" spans="1:3" ht="15" x14ac:dyDescent="0.35">
      <c r="A12" s="117" t="s">
        <v>11</v>
      </c>
      <c r="B12" s="118" t="s">
        <v>112</v>
      </c>
      <c r="C12" s="6"/>
    </row>
    <row r="13" spans="1:3" s="103" customFormat="1" ht="15.5" x14ac:dyDescent="0.35">
      <c r="A13" s="119" t="s">
        <v>149</v>
      </c>
      <c r="B13" s="10"/>
      <c r="C13" s="101"/>
    </row>
    <row r="14" spans="1:3" ht="15.5" x14ac:dyDescent="0.35">
      <c r="A14" s="119" t="s">
        <v>132</v>
      </c>
      <c r="B14" s="59"/>
      <c r="C14" s="6"/>
    </row>
    <row r="15" spans="1:3" ht="15.5" x14ac:dyDescent="0.35">
      <c r="A15" s="119" t="s">
        <v>12</v>
      </c>
      <c r="B15" s="10"/>
      <c r="C15" s="6"/>
    </row>
    <row r="16" spans="1:3" ht="15.5" x14ac:dyDescent="0.35">
      <c r="A16" s="120" t="s">
        <v>14</v>
      </c>
      <c r="B16" s="33" t="e">
        <f>VLOOKUP(B15,Defaults!A13:B20,2,FALSE)</f>
        <v>#N/A</v>
      </c>
      <c r="C16" s="6"/>
    </row>
    <row r="17" spans="1:3" ht="15" x14ac:dyDescent="0.35">
      <c r="A17" s="172" t="s">
        <v>131</v>
      </c>
      <c r="B17" s="173"/>
      <c r="C17" s="174"/>
    </row>
    <row r="18" spans="1:3" ht="15" x14ac:dyDescent="0.35">
      <c r="A18" s="117" t="s">
        <v>11</v>
      </c>
      <c r="B18" s="121" t="s">
        <v>112</v>
      </c>
      <c r="C18" s="122" t="s">
        <v>17</v>
      </c>
    </row>
    <row r="19" spans="1:3" ht="15.5" x14ac:dyDescent="0.35">
      <c r="A19" s="123" t="s">
        <v>18</v>
      </c>
      <c r="B19" s="59"/>
      <c r="C19" s="59"/>
    </row>
    <row r="20" spans="1:3" ht="30" x14ac:dyDescent="0.35">
      <c r="A20" s="124" t="s">
        <v>153</v>
      </c>
      <c r="B20" s="59"/>
      <c r="C20" s="59"/>
    </row>
    <row r="21" spans="1:3" ht="15.5" x14ac:dyDescent="0.35">
      <c r="A21" s="123" t="s">
        <v>147</v>
      </c>
      <c r="B21" s="61"/>
      <c r="C21" s="61"/>
    </row>
    <row r="22" spans="1:3" ht="15.5" x14ac:dyDescent="0.35">
      <c r="A22" s="125" t="s">
        <v>19</v>
      </c>
      <c r="B22" s="126" t="s">
        <v>134</v>
      </c>
      <c r="C22" s="126" t="s">
        <v>134</v>
      </c>
    </row>
    <row r="23" spans="1:3" ht="15.5" x14ac:dyDescent="0.35">
      <c r="A23" s="127" t="s">
        <v>20</v>
      </c>
      <c r="B23" s="10"/>
      <c r="C23" s="10"/>
    </row>
    <row r="24" spans="1:3" ht="15.5" x14ac:dyDescent="0.35">
      <c r="A24" s="127" t="s">
        <v>21</v>
      </c>
      <c r="B24" s="10"/>
      <c r="C24" s="10"/>
    </row>
    <row r="25" spans="1:3" ht="15.5" x14ac:dyDescent="0.35">
      <c r="A25" s="127" t="s">
        <v>102</v>
      </c>
      <c r="B25" s="10"/>
      <c r="C25" s="10"/>
    </row>
    <row r="26" spans="1:3" ht="15.5" x14ac:dyDescent="0.35">
      <c r="A26" s="123" t="s">
        <v>23</v>
      </c>
      <c r="B26" s="69" t="s">
        <v>24</v>
      </c>
      <c r="C26" s="10"/>
    </row>
    <row r="27" spans="1:3" ht="15" x14ac:dyDescent="0.35">
      <c r="A27" s="172" t="s">
        <v>27</v>
      </c>
      <c r="B27" s="173"/>
      <c r="C27" s="174"/>
    </row>
    <row r="28" spans="1:3" ht="15" x14ac:dyDescent="0.35">
      <c r="A28" s="117" t="s">
        <v>11</v>
      </c>
      <c r="B28" s="121" t="s">
        <v>112</v>
      </c>
      <c r="C28" s="122" t="s">
        <v>17</v>
      </c>
    </row>
    <row r="29" spans="1:3" ht="15.5" x14ac:dyDescent="0.35">
      <c r="A29" s="129" t="s">
        <v>182</v>
      </c>
      <c r="B29" s="69" t="s">
        <v>24</v>
      </c>
      <c r="C29" s="60"/>
    </row>
    <row r="30" spans="1:3" ht="15" x14ac:dyDescent="0.35">
      <c r="A30" s="172" t="s">
        <v>113</v>
      </c>
      <c r="B30" s="173"/>
      <c r="C30" s="174"/>
    </row>
    <row r="31" spans="1:3" ht="15" x14ac:dyDescent="0.35">
      <c r="A31" s="131" t="s">
        <v>11</v>
      </c>
      <c r="B31" s="132"/>
      <c r="C31" s="133" t="s">
        <v>17</v>
      </c>
    </row>
    <row r="32" spans="1:3" ht="15.5" x14ac:dyDescent="0.35">
      <c r="A32" s="123" t="s">
        <v>31</v>
      </c>
      <c r="B32" s="134"/>
      <c r="C32" s="59"/>
    </row>
    <row r="33" spans="1:3" ht="15.5" x14ac:dyDescent="0.35">
      <c r="A33" s="123" t="s">
        <v>32</v>
      </c>
      <c r="B33" s="134"/>
      <c r="C33" s="10"/>
    </row>
    <row r="34" spans="1:3" ht="15.5" x14ac:dyDescent="0.35">
      <c r="A34" s="135" t="s">
        <v>14</v>
      </c>
      <c r="B34" s="134"/>
      <c r="C34" s="69" t="e">
        <f>VLOOKUP(C33,Defaults!A13:B20,2, FALSE)</f>
        <v>#N/A</v>
      </c>
    </row>
    <row r="35" spans="1:3" ht="15.5" x14ac:dyDescent="0.35">
      <c r="A35" s="124" t="s">
        <v>34</v>
      </c>
      <c r="B35" s="134"/>
      <c r="C35" s="10" t="s">
        <v>78</v>
      </c>
    </row>
    <row r="36" spans="1:3" ht="15.5" x14ac:dyDescent="0.35">
      <c r="A36" s="135" t="s">
        <v>36</v>
      </c>
      <c r="B36" s="136"/>
      <c r="C36" s="69">
        <f>VLOOKUP(C35,Defaults!A33:B53, 2,FALSE)</f>
        <v>1</v>
      </c>
    </row>
    <row r="37" spans="1:3" x14ac:dyDescent="0.35">
      <c r="A37" s="103"/>
      <c r="B37" s="103"/>
      <c r="C37" s="103"/>
    </row>
    <row r="38" spans="1:3" x14ac:dyDescent="0.35">
      <c r="A38" s="103"/>
      <c r="B38" s="103"/>
      <c r="C38" s="103"/>
    </row>
  </sheetData>
  <sheetProtection algorithmName="SHA-512" hashValue="KvPXOOX2JkWtgzTFx6T6f46oIgECutg5VRe4swSNSRIYd58nMF+v6gAxez0Me0xJ3gYSt2s0hcP7VUVawwgG7A==" saltValue="VGh5Kj28I4ZqgMAWKYU5ZA==" spinCount="100000" sheet="1" objects="1" scenarios="1"/>
  <mergeCells count="4">
    <mergeCell ref="A11:B11"/>
    <mergeCell ref="A17:C17"/>
    <mergeCell ref="A27:C27"/>
    <mergeCell ref="A30:C30"/>
  </mergeCells>
  <dataValidations count="5">
    <dataValidation type="decimal" allowBlank="1" showInputMessage="1" showErrorMessage="1" error="Entry must be between 0 and 100%" promptTitle=" SWEEP Water Savings Tool" prompt="Water savings value is obtained from the SWEEP Water Savings Tool, cell F6" sqref="C29" xr:uid="{00000000-0002-0000-0300-000000000000}">
      <formula1>0</formula1>
      <formula2>1</formula2>
    </dataValidation>
    <dataValidation type="decimal" allowBlank="1" showInputMessage="1" showErrorMessage="1" error="Entry must be between 0 and 100%" sqref="B21:C21" xr:uid="{00000000-0002-0000-03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300-000002000000}"/>
    <dataValidation allowBlank="1" showInputMessage="1" showErrorMessage="1" promptTitle="Renewable Energy" prompt="If installing renewable energy, select the new fuel type as electricity and select the appropriate fuel conversion in the field below." sqref="C32" xr:uid="{00000000-0002-0000-0300-000003000000}"/>
    <dataValidation allowBlank="1" showInputMessage="1" showErrorMessage="1" promptTitle="Friction Losses" prompt="Default value is 10 ft for well pump or 5 feet for booster pump._x000a_" sqref="B25" xr:uid="{00000000-0002-0000-0300-000004000000}"/>
  </dataValidations>
  <hyperlinks>
    <hyperlink ref="A29" r:id="rId1" xr:uid="{00000000-0004-0000-0300-000000000000}"/>
  </hyperlinks>
  <pageMargins left="0.7" right="0.7" top="0.75" bottom="0.75" header="0.3" footer="0.3"/>
  <pageSetup scale="80" fitToHeight="0" orientation="landscape" r:id="rId2"/>
  <headerFooter>
    <oddFooter>&amp;LJanuary 11, 2017&amp;CPage 2 (c)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3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3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3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300-000008000000}">
          <x14:formula1>
            <xm:f>Defaults!$A$33:$A$53</xm:f>
          </x14:formula1>
          <xm:sqref>C35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C38"/>
  <sheetViews>
    <sheetView showGridLines="0" zoomScaleNormal="100" workbookViewId="0"/>
  </sheetViews>
  <sheetFormatPr defaultColWidth="9.1796875" defaultRowHeight="14.5" x14ac:dyDescent="0.35"/>
  <cols>
    <col min="1" max="1" width="55.81640625" style="137" customWidth="1"/>
    <col min="2" max="2" width="47.81640625" style="137" customWidth="1"/>
    <col min="3" max="3" width="47.54296875" style="137" customWidth="1"/>
    <col min="4" max="16384" width="9.1796875" style="137"/>
  </cols>
  <sheetData>
    <row r="1" spans="1:3" ht="17.5" x14ac:dyDescent="0.35">
      <c r="B1" s="102" t="s">
        <v>184</v>
      </c>
    </row>
    <row r="2" spans="1:3" ht="17.5" x14ac:dyDescent="0.35">
      <c r="B2" s="104" t="s">
        <v>192</v>
      </c>
    </row>
    <row r="3" spans="1:3" ht="17.5" x14ac:dyDescent="0.35">
      <c r="A3" s="6"/>
      <c r="B3" s="104" t="s">
        <v>185</v>
      </c>
      <c r="C3" s="6"/>
    </row>
    <row r="4" spans="1:3" ht="17.5" x14ac:dyDescent="0.35">
      <c r="A4" s="6"/>
      <c r="B4" s="105" t="s">
        <v>186</v>
      </c>
      <c r="C4" s="6"/>
    </row>
    <row r="5" spans="1:3" ht="17.5" x14ac:dyDescent="0.35">
      <c r="A5" s="6"/>
      <c r="B5" s="105"/>
      <c r="C5" s="6"/>
    </row>
    <row r="6" spans="1:3" ht="17.5" x14ac:dyDescent="0.35">
      <c r="A6" s="6"/>
      <c r="B6" s="105"/>
      <c r="C6" s="6"/>
    </row>
    <row r="7" spans="1:3" ht="17.5" x14ac:dyDescent="0.35">
      <c r="A7" s="6"/>
      <c r="B7" s="105"/>
      <c r="C7" s="6"/>
    </row>
    <row r="8" spans="1:3" x14ac:dyDescent="0.35">
      <c r="A8" s="6"/>
      <c r="B8" s="6"/>
      <c r="C8" s="6"/>
    </row>
    <row r="9" spans="1:3" x14ac:dyDescent="0.35">
      <c r="A9" s="138" t="s">
        <v>129</v>
      </c>
      <c r="B9" s="6"/>
      <c r="C9" s="6"/>
    </row>
    <row r="10" spans="1:3" x14ac:dyDescent="0.35">
      <c r="A10" s="6"/>
      <c r="B10" s="6"/>
      <c r="C10" s="6"/>
    </row>
    <row r="11" spans="1:3" ht="15" x14ac:dyDescent="0.35">
      <c r="A11" s="175" t="s">
        <v>10</v>
      </c>
      <c r="B11" s="176"/>
      <c r="C11" s="6"/>
    </row>
    <row r="12" spans="1:3" ht="15" x14ac:dyDescent="0.35">
      <c r="A12" s="117" t="s">
        <v>11</v>
      </c>
      <c r="B12" s="118" t="s">
        <v>112</v>
      </c>
      <c r="C12" s="6"/>
    </row>
    <row r="13" spans="1:3" s="103" customFormat="1" ht="15.5" x14ac:dyDescent="0.35">
      <c r="A13" s="119" t="s">
        <v>149</v>
      </c>
      <c r="B13" s="10"/>
      <c r="C13" s="101"/>
    </row>
    <row r="14" spans="1:3" ht="15.5" x14ac:dyDescent="0.35">
      <c r="A14" s="119" t="s">
        <v>132</v>
      </c>
      <c r="B14" s="59"/>
      <c r="C14" s="6"/>
    </row>
    <row r="15" spans="1:3" ht="15.5" x14ac:dyDescent="0.35">
      <c r="A15" s="119" t="s">
        <v>12</v>
      </c>
      <c r="B15" s="10"/>
      <c r="C15" s="6"/>
    </row>
    <row r="16" spans="1:3" ht="15.5" x14ac:dyDescent="0.35">
      <c r="A16" s="120" t="s">
        <v>14</v>
      </c>
      <c r="B16" s="33" t="e">
        <f>VLOOKUP(B15,Defaults!A13:B20,2,FALSE)</f>
        <v>#N/A</v>
      </c>
      <c r="C16" s="6"/>
    </row>
    <row r="17" spans="1:3" ht="15" x14ac:dyDescent="0.35">
      <c r="A17" s="172" t="s">
        <v>131</v>
      </c>
      <c r="B17" s="173"/>
      <c r="C17" s="174"/>
    </row>
    <row r="18" spans="1:3" ht="15" x14ac:dyDescent="0.35">
      <c r="A18" s="117" t="s">
        <v>11</v>
      </c>
      <c r="B18" s="121" t="s">
        <v>112</v>
      </c>
      <c r="C18" s="122" t="s">
        <v>17</v>
      </c>
    </row>
    <row r="19" spans="1:3" ht="15.5" x14ac:dyDescent="0.35">
      <c r="A19" s="123" t="s">
        <v>18</v>
      </c>
      <c r="B19" s="59"/>
      <c r="C19" s="59"/>
    </row>
    <row r="20" spans="1:3" ht="30" x14ac:dyDescent="0.35">
      <c r="A20" s="124" t="s">
        <v>153</v>
      </c>
      <c r="B20" s="59"/>
      <c r="C20" s="59"/>
    </row>
    <row r="21" spans="1:3" ht="15.5" x14ac:dyDescent="0.35">
      <c r="A21" s="123" t="s">
        <v>147</v>
      </c>
      <c r="B21" s="61"/>
      <c r="C21" s="61"/>
    </row>
    <row r="22" spans="1:3" ht="15.5" x14ac:dyDescent="0.35">
      <c r="A22" s="125" t="s">
        <v>19</v>
      </c>
      <c r="B22" s="126" t="s">
        <v>134</v>
      </c>
      <c r="C22" s="126" t="s">
        <v>134</v>
      </c>
    </row>
    <row r="23" spans="1:3" ht="15.5" x14ac:dyDescent="0.35">
      <c r="A23" s="127" t="s">
        <v>20</v>
      </c>
      <c r="B23" s="10"/>
      <c r="C23" s="10"/>
    </row>
    <row r="24" spans="1:3" ht="15.5" x14ac:dyDescent="0.35">
      <c r="A24" s="127" t="s">
        <v>21</v>
      </c>
      <c r="B24" s="10"/>
      <c r="C24" s="10"/>
    </row>
    <row r="25" spans="1:3" ht="15.5" x14ac:dyDescent="0.35">
      <c r="A25" s="127" t="s">
        <v>102</v>
      </c>
      <c r="B25" s="10"/>
      <c r="C25" s="10"/>
    </row>
    <row r="26" spans="1:3" ht="15.5" x14ac:dyDescent="0.35">
      <c r="A26" s="123" t="s">
        <v>23</v>
      </c>
      <c r="B26" s="69" t="s">
        <v>24</v>
      </c>
      <c r="C26" s="10"/>
    </row>
    <row r="27" spans="1:3" ht="15" x14ac:dyDescent="0.35">
      <c r="A27" s="172" t="s">
        <v>27</v>
      </c>
      <c r="B27" s="173"/>
      <c r="C27" s="174"/>
    </row>
    <row r="28" spans="1:3" ht="15" x14ac:dyDescent="0.35">
      <c r="A28" s="117" t="s">
        <v>11</v>
      </c>
      <c r="B28" s="121" t="s">
        <v>112</v>
      </c>
      <c r="C28" s="122" t="s">
        <v>17</v>
      </c>
    </row>
    <row r="29" spans="1:3" ht="15.5" x14ac:dyDescent="0.35">
      <c r="A29" s="129" t="s">
        <v>182</v>
      </c>
      <c r="B29" s="69" t="s">
        <v>24</v>
      </c>
      <c r="C29" s="60"/>
    </row>
    <row r="30" spans="1:3" ht="15" x14ac:dyDescent="0.35">
      <c r="A30" s="172" t="s">
        <v>113</v>
      </c>
      <c r="B30" s="173"/>
      <c r="C30" s="174"/>
    </row>
    <row r="31" spans="1:3" ht="15" x14ac:dyDescent="0.35">
      <c r="A31" s="131" t="s">
        <v>11</v>
      </c>
      <c r="B31" s="132"/>
      <c r="C31" s="133" t="s">
        <v>17</v>
      </c>
    </row>
    <row r="32" spans="1:3" ht="15.5" x14ac:dyDescent="0.35">
      <c r="A32" s="123" t="s">
        <v>31</v>
      </c>
      <c r="B32" s="134"/>
      <c r="C32" s="59"/>
    </row>
    <row r="33" spans="1:3" ht="15.5" x14ac:dyDescent="0.35">
      <c r="A33" s="123" t="s">
        <v>32</v>
      </c>
      <c r="B33" s="134"/>
      <c r="C33" s="10"/>
    </row>
    <row r="34" spans="1:3" ht="15.5" x14ac:dyDescent="0.35">
      <c r="A34" s="135" t="s">
        <v>14</v>
      </c>
      <c r="B34" s="134"/>
      <c r="C34" s="69" t="e">
        <f>VLOOKUP(C33,Defaults!A11:B18,2, FALSE)</f>
        <v>#N/A</v>
      </c>
    </row>
    <row r="35" spans="1:3" ht="15.5" x14ac:dyDescent="0.35">
      <c r="A35" s="124" t="s">
        <v>34</v>
      </c>
      <c r="B35" s="134"/>
      <c r="C35" s="10" t="s">
        <v>78</v>
      </c>
    </row>
    <row r="36" spans="1:3" ht="15.5" x14ac:dyDescent="0.35">
      <c r="A36" s="135" t="s">
        <v>36</v>
      </c>
      <c r="B36" s="136"/>
      <c r="C36" s="69">
        <f>VLOOKUP(C35,Defaults!A33:B53, 2,FALSE)</f>
        <v>1</v>
      </c>
    </row>
    <row r="37" spans="1:3" x14ac:dyDescent="0.35">
      <c r="A37" s="103"/>
      <c r="B37" s="103"/>
      <c r="C37" s="103"/>
    </row>
    <row r="38" spans="1:3" x14ac:dyDescent="0.35">
      <c r="A38" s="103"/>
      <c r="B38" s="103"/>
      <c r="C38" s="103"/>
    </row>
  </sheetData>
  <sheetProtection algorithmName="SHA-512" hashValue="fW6643EONtL4m6/cWrRAv8uU6YpK4CVAhBczALILPfWoHrWGT02iMnaxCfFjEv+A55QZppuE9wlq5rK+7GOv5w==" saltValue="4DHVQrVr/qYl03etPmcREg==" spinCount="100000" sheet="1" objects="1" scenarios="1"/>
  <mergeCells count="4">
    <mergeCell ref="A11:B11"/>
    <mergeCell ref="A17:C17"/>
    <mergeCell ref="A27:C27"/>
    <mergeCell ref="A30:C30"/>
  </mergeCells>
  <dataValidations count="6">
    <dataValidation allowBlank="1" showInputMessage="1" showErrorMessage="1" promptTitle="Renewable Energy" prompt="If installing renewable energy, select the new fuel type as electricity and select the appropriate fuel conversion in the field below." sqref="C32" xr:uid="{00000000-0002-0000-0400-000000000000}"/>
    <dataValidation allowBlank="1" showInputMessage="1" showErrorMessage="1" promptTitle="Friction Losses" prompt="Default value is 10 ft for well pump or 5 feet for booster pump. Enter in appliacable friction losses if known." sqref="C25" xr:uid="{00000000-0002-0000-0400-000001000000}"/>
    <dataValidation type="decimal" allowBlank="1" showInputMessage="1" showErrorMessage="1" error="Entry must be between 0 and 100%" sqref="B21:C21" xr:uid="{00000000-0002-0000-0400-000002000000}">
      <formula1>0</formula1>
      <formula2>1</formula2>
    </dataValidation>
    <dataValidation type="decimal" allowBlank="1" showInputMessage="1" showErrorMessage="1" error="Entry must be between 0 and 100%" promptTitle=" SWEEP Water Savings Tool" prompt="Water savings value is obtained from the SWEEP Water Savings Tool, cell F6" sqref="C29" xr:uid="{00000000-0002-0000-0400-000003000000}">
      <formula1>0</formula1>
      <formula2>1</formula2>
    </dataValidation>
    <dataValidation type="whole" operator="lessThanOrEqual" allowBlank="1" showInputMessage="1" showErrorMessage="1" errorTitle="Pumping Depth (ft)" error="Entry must be less than or equal to pre-project pumping depth (ft)" sqref="C23" xr:uid="{00000000-0002-0000-0400-000004000000}">
      <formula1>B23</formula1>
    </dataValidation>
    <dataValidation allowBlank="1" showInputMessage="1" showErrorMessage="1" promptTitle="Friction Losses" prompt="Default value is 10 ft for well pump or 5 feet for booster pump." sqref="B25" xr:uid="{00000000-0002-0000-0400-000005000000}"/>
  </dataValidations>
  <hyperlinks>
    <hyperlink ref="A29" r:id="rId1" xr:uid="{00000000-0004-0000-0400-000000000000}"/>
  </hyperlinks>
  <pageMargins left="0.7" right="0.7" top="0.75" bottom="0.75" header="0.3" footer="0.3"/>
  <pageSetup scale="81" fitToHeight="0" orientation="landscape" r:id="rId2"/>
  <headerFooter>
    <oddFooter>&amp;LJanuary 11, 2017&amp;CPage 2 (d)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Fuel Conversion" prompt="Please select the appropriate fuel conversion. If there is No Fuel Conversion, please select &quot;No Change&quot; from the drop down menu" xr:uid="{00000000-0002-0000-0400-000006000000}">
          <x14:formula1>
            <xm:f>Defaults!$A$33:$A$53</xm:f>
          </x14:formula1>
          <xm:sqref>C35</xm:sqref>
        </x14:dataValidation>
        <x14:dataValidation type="list" allowBlank="1" showInputMessage="1" showErrorMessage="1" promptTitle="Fuel Type" prompt="Please select current fuel type used from the drop down menu_x000a_" xr:uid="{00000000-0002-0000-0400-000007000000}">
          <x14:formula1>
            <xm:f>Defaults!$A$13:$A$20</xm:f>
          </x14:formula1>
          <xm:sqref>B15</xm:sqref>
        </x14:dataValidation>
        <x14:dataValidation type="list" allowBlank="1" showInputMessage="1" showErrorMessage="1" promptTitle="VFD Selection" prompt="Please select appropriate VFD scenario from the drop down menu_x000a__x000a_" xr:uid="{00000000-0002-0000-0400-000008000000}">
          <x14:formula1>
            <xm:f>Defaults!$F$14:$F$17</xm:f>
          </x14:formula1>
          <xm:sqref>C26</xm:sqref>
        </x14:dataValidation>
        <x14:dataValidation type="list" allowBlank="1" showInputMessage="1" showErrorMessage="1" promptTitle="New fuel type" prompt="Please select the new fuel type used as a result of a fuel conversion. If there is No Change to fuel type, please select the current fuel type used" xr:uid="{00000000-0002-0000-0400-000009000000}">
          <x14:formula1>
            <xm:f>Defaults!$A$13:$A$20</xm:f>
          </x14:formula1>
          <xm:sqref>C33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C37"/>
  <sheetViews>
    <sheetView showGridLines="0" zoomScaleNormal="100" workbookViewId="0"/>
  </sheetViews>
  <sheetFormatPr defaultColWidth="9.1796875" defaultRowHeight="14.5" x14ac:dyDescent="0.35"/>
  <cols>
    <col min="1" max="1" width="55.81640625" style="137" customWidth="1"/>
    <col min="2" max="2" width="47.54296875" style="137" customWidth="1"/>
    <col min="3" max="3" width="48.81640625" style="137" customWidth="1"/>
    <col min="4" max="16384" width="9.1796875" style="137"/>
  </cols>
  <sheetData>
    <row r="1" spans="1:3" ht="17.5" x14ac:dyDescent="0.35">
      <c r="A1" s="139"/>
      <c r="B1" s="102" t="s">
        <v>184</v>
      </c>
    </row>
    <row r="2" spans="1:3" ht="17.5" x14ac:dyDescent="0.35">
      <c r="B2" s="104" t="s">
        <v>192</v>
      </c>
    </row>
    <row r="3" spans="1:3" ht="17.5" x14ac:dyDescent="0.35">
      <c r="A3" s="6"/>
      <c r="B3" s="104" t="s">
        <v>185</v>
      </c>
      <c r="C3" s="6"/>
    </row>
    <row r="4" spans="1:3" ht="17.5" x14ac:dyDescent="0.35">
      <c r="A4" s="6"/>
      <c r="B4" s="105" t="s">
        <v>186</v>
      </c>
      <c r="C4" s="6"/>
    </row>
    <row r="5" spans="1:3" ht="17.5" x14ac:dyDescent="0.35">
      <c r="A5" s="6"/>
      <c r="B5" s="105"/>
      <c r="C5" s="6"/>
    </row>
    <row r="6" spans="1:3" ht="17.5" x14ac:dyDescent="0.35">
      <c r="A6" s="6"/>
      <c r="B6" s="105"/>
      <c r="C6" s="6"/>
    </row>
    <row r="7" spans="1:3" ht="17.5" x14ac:dyDescent="0.35">
      <c r="A7" s="6"/>
      <c r="B7" s="105"/>
      <c r="C7" s="6"/>
    </row>
    <row r="8" spans="1:3" x14ac:dyDescent="0.35">
      <c r="A8" s="6"/>
      <c r="B8" s="6"/>
      <c r="C8" s="6"/>
    </row>
    <row r="9" spans="1:3" x14ac:dyDescent="0.35">
      <c r="A9" s="138" t="s">
        <v>129</v>
      </c>
      <c r="B9" s="6"/>
      <c r="C9" s="6"/>
    </row>
    <row r="10" spans="1:3" x14ac:dyDescent="0.35">
      <c r="A10" s="6"/>
      <c r="B10" s="6"/>
      <c r="C10" s="6"/>
    </row>
    <row r="11" spans="1:3" ht="15" x14ac:dyDescent="0.35">
      <c r="A11" s="175" t="s">
        <v>10</v>
      </c>
      <c r="B11" s="176"/>
      <c r="C11" s="6"/>
    </row>
    <row r="12" spans="1:3" ht="15" x14ac:dyDescent="0.35">
      <c r="A12" s="117" t="s">
        <v>11</v>
      </c>
      <c r="B12" s="118" t="s">
        <v>112</v>
      </c>
      <c r="C12" s="6"/>
    </row>
    <row r="13" spans="1:3" s="103" customFormat="1" ht="15.5" x14ac:dyDescent="0.35">
      <c r="A13" s="119" t="s">
        <v>149</v>
      </c>
      <c r="B13" s="10"/>
      <c r="C13" s="101"/>
    </row>
    <row r="14" spans="1:3" ht="15.5" x14ac:dyDescent="0.35">
      <c r="A14" s="119" t="s">
        <v>132</v>
      </c>
      <c r="B14" s="59"/>
      <c r="C14" s="6"/>
    </row>
    <row r="15" spans="1:3" ht="15.5" x14ac:dyDescent="0.35">
      <c r="A15" s="119" t="s">
        <v>12</v>
      </c>
      <c r="B15" s="10"/>
      <c r="C15" s="6"/>
    </row>
    <row r="16" spans="1:3" ht="15.5" x14ac:dyDescent="0.35">
      <c r="A16" s="120" t="s">
        <v>14</v>
      </c>
      <c r="B16" s="33" t="e">
        <f>VLOOKUP(B15,Defaults!A13:B20,2,FALSE)</f>
        <v>#N/A</v>
      </c>
      <c r="C16" s="6"/>
    </row>
    <row r="17" spans="1:3" ht="15" x14ac:dyDescent="0.35">
      <c r="A17" s="172" t="s">
        <v>131</v>
      </c>
      <c r="B17" s="173"/>
      <c r="C17" s="174"/>
    </row>
    <row r="18" spans="1:3" ht="15" x14ac:dyDescent="0.35">
      <c r="A18" s="117" t="s">
        <v>11</v>
      </c>
      <c r="B18" s="121" t="s">
        <v>112</v>
      </c>
      <c r="C18" s="122" t="s">
        <v>17</v>
      </c>
    </row>
    <row r="19" spans="1:3" ht="15.5" x14ac:dyDescent="0.35">
      <c r="A19" s="123" t="s">
        <v>18</v>
      </c>
      <c r="B19" s="59"/>
      <c r="C19" s="59"/>
    </row>
    <row r="20" spans="1:3" ht="30" x14ac:dyDescent="0.35">
      <c r="A20" s="124" t="s">
        <v>153</v>
      </c>
      <c r="B20" s="59"/>
      <c r="C20" s="59"/>
    </row>
    <row r="21" spans="1:3" ht="15.5" x14ac:dyDescent="0.35">
      <c r="A21" s="123" t="s">
        <v>147</v>
      </c>
      <c r="B21" s="61"/>
      <c r="C21" s="61"/>
    </row>
    <row r="22" spans="1:3" ht="15.5" x14ac:dyDescent="0.35">
      <c r="A22" s="125" t="s">
        <v>19</v>
      </c>
      <c r="B22" s="126" t="s">
        <v>134</v>
      </c>
      <c r="C22" s="126" t="s">
        <v>134</v>
      </c>
    </row>
    <row r="23" spans="1:3" ht="15.5" x14ac:dyDescent="0.35">
      <c r="A23" s="127" t="s">
        <v>20</v>
      </c>
      <c r="B23" s="10"/>
      <c r="C23" s="10"/>
    </row>
    <row r="24" spans="1:3" ht="15.5" x14ac:dyDescent="0.35">
      <c r="A24" s="127" t="s">
        <v>21</v>
      </c>
      <c r="B24" s="10"/>
      <c r="C24" s="10"/>
    </row>
    <row r="25" spans="1:3" ht="15.5" x14ac:dyDescent="0.35">
      <c r="A25" s="127" t="s">
        <v>102</v>
      </c>
      <c r="B25" s="10"/>
      <c r="C25" s="10"/>
    </row>
    <row r="26" spans="1:3" ht="15.5" x14ac:dyDescent="0.35">
      <c r="A26" s="123" t="s">
        <v>23</v>
      </c>
      <c r="B26" s="69" t="s">
        <v>24</v>
      </c>
      <c r="C26" s="10"/>
    </row>
    <row r="27" spans="1:3" ht="15" x14ac:dyDescent="0.35">
      <c r="A27" s="172" t="s">
        <v>27</v>
      </c>
      <c r="B27" s="173"/>
      <c r="C27" s="174"/>
    </row>
    <row r="28" spans="1:3" ht="15" x14ac:dyDescent="0.35">
      <c r="A28" s="117" t="s">
        <v>11</v>
      </c>
      <c r="B28" s="121" t="s">
        <v>112</v>
      </c>
      <c r="C28" s="122" t="s">
        <v>17</v>
      </c>
    </row>
    <row r="29" spans="1:3" ht="15.5" x14ac:dyDescent="0.35">
      <c r="A29" s="129" t="s">
        <v>182</v>
      </c>
      <c r="B29" s="69" t="s">
        <v>24</v>
      </c>
      <c r="C29" s="60"/>
    </row>
    <row r="30" spans="1:3" ht="15" x14ac:dyDescent="0.35">
      <c r="A30" s="172" t="s">
        <v>113</v>
      </c>
      <c r="B30" s="173"/>
      <c r="C30" s="174"/>
    </row>
    <row r="31" spans="1:3" ht="15" x14ac:dyDescent="0.35">
      <c r="A31" s="131" t="s">
        <v>11</v>
      </c>
      <c r="B31" s="132"/>
      <c r="C31" s="133" t="s">
        <v>17</v>
      </c>
    </row>
    <row r="32" spans="1:3" ht="15.5" x14ac:dyDescent="0.35">
      <c r="A32" s="123" t="s">
        <v>31</v>
      </c>
      <c r="B32" s="134"/>
      <c r="C32" s="59"/>
    </row>
    <row r="33" spans="1:3" ht="15.5" x14ac:dyDescent="0.35">
      <c r="A33" s="123" t="s">
        <v>32</v>
      </c>
      <c r="B33" s="134"/>
      <c r="C33" s="10"/>
    </row>
    <row r="34" spans="1:3" ht="15.5" x14ac:dyDescent="0.35">
      <c r="A34" s="135" t="s">
        <v>14</v>
      </c>
      <c r="B34" s="134"/>
      <c r="C34" s="69" t="e">
        <f>VLOOKUP(C33,Defaults!A11:B18,2, FALSE)</f>
        <v>#N/A</v>
      </c>
    </row>
    <row r="35" spans="1:3" ht="15.5" x14ac:dyDescent="0.35">
      <c r="A35" s="124" t="s">
        <v>34</v>
      </c>
      <c r="B35" s="134"/>
      <c r="C35" s="10" t="s">
        <v>78</v>
      </c>
    </row>
    <row r="36" spans="1:3" ht="15.5" x14ac:dyDescent="0.35">
      <c r="A36" s="135" t="s">
        <v>36</v>
      </c>
      <c r="B36" s="136"/>
      <c r="C36" s="69">
        <f>VLOOKUP(C35,Defaults!A33:B53, 2,FALSE)</f>
        <v>1</v>
      </c>
    </row>
    <row r="37" spans="1:3" x14ac:dyDescent="0.35">
      <c r="A37" s="103"/>
      <c r="B37" s="103"/>
      <c r="C37" s="103"/>
    </row>
  </sheetData>
  <sheetProtection algorithmName="SHA-512" hashValue="AKyEjc9LwGbSVDIvpxiswldIaPh2iqjEWn8/HGA5ex3/9sCbLF1un6hLfQrYqN4hToH5Eb26fE3o0VukPks/Zg==" saltValue="kfkxvLsoonrS+7O5W+t+NQ==" spinCount="100000" sheet="1" objects="1" scenarios="1"/>
  <mergeCells count="4">
    <mergeCell ref="A11:B11"/>
    <mergeCell ref="A17:C17"/>
    <mergeCell ref="A27:C27"/>
    <mergeCell ref="A30:C30"/>
  </mergeCells>
  <dataValidations count="5">
    <dataValidation type="decimal" allowBlank="1" showInputMessage="1" showErrorMessage="1" error="Entry must be between 0 and 100%" promptTitle=" SWEEP Water Savings Tool" prompt="Water savings value is obtained from the SWEEP Water Savings Tool, cell F6" sqref="C29" xr:uid="{00000000-0002-0000-0500-000000000000}">
      <formula1>0</formula1>
      <formula2>1</formula2>
    </dataValidation>
    <dataValidation type="decimal" allowBlank="1" showInputMessage="1" showErrorMessage="1" error="Entry must be between 0 and 100%" sqref="B21:C21" xr:uid="{00000000-0002-0000-05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500-000002000000}"/>
    <dataValidation allowBlank="1" showInputMessage="1" showErrorMessage="1" promptTitle="Renewable Energy" prompt="If installing renewable energy, select the new fuel type as electricity and select the appropriate fuel conversion in the field below." sqref="C32" xr:uid="{00000000-0002-0000-0500-000003000000}"/>
    <dataValidation allowBlank="1" showInputMessage="1" showErrorMessage="1" promptTitle="Friction Losses" prompt="Default value is 10 ft for well pump or 5 feet for booster pump." sqref="B25" xr:uid="{00000000-0002-0000-0500-000004000000}"/>
  </dataValidations>
  <hyperlinks>
    <hyperlink ref="A29" r:id="rId1" xr:uid="{00000000-0004-0000-0500-000000000000}"/>
  </hyperlinks>
  <pageMargins left="0.7" right="0.7" top="0.75" bottom="0.75" header="0.3" footer="0.3"/>
  <pageSetup scale="80" fitToHeight="0" orientation="landscape" r:id="rId2"/>
  <headerFooter>
    <oddFooter>&amp;LJanuary 11, 2017&amp;CPage 2 (e)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5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5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5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500-000008000000}">
          <x14:formula1>
            <xm:f>Defaults!$A$33:$A$53</xm:f>
          </x14:formula1>
          <xm:sqref>C35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C15"/>
  <sheetViews>
    <sheetView showGridLines="0" zoomScaleNormal="100" workbookViewId="0">
      <selection activeCell="B20" sqref="B20"/>
    </sheetView>
  </sheetViews>
  <sheetFormatPr defaultColWidth="9.1796875" defaultRowHeight="14.5" x14ac:dyDescent="0.35"/>
  <cols>
    <col min="1" max="1" width="55.81640625" style="137" customWidth="1"/>
    <col min="2" max="2" width="47.54296875" style="137" customWidth="1"/>
    <col min="3" max="3" width="48.81640625" style="137" customWidth="1"/>
    <col min="4" max="16384" width="9.1796875" style="137"/>
  </cols>
  <sheetData>
    <row r="1" spans="1:3" ht="17.5" x14ac:dyDescent="0.35">
      <c r="A1" s="139"/>
      <c r="B1" s="102" t="s">
        <v>184</v>
      </c>
    </row>
    <row r="2" spans="1:3" ht="17.5" x14ac:dyDescent="0.35">
      <c r="B2" s="104" t="s">
        <v>192</v>
      </c>
    </row>
    <row r="3" spans="1:3" ht="17.5" x14ac:dyDescent="0.35">
      <c r="A3" s="6"/>
      <c r="B3" s="104" t="s">
        <v>185</v>
      </c>
      <c r="C3" s="6"/>
    </row>
    <row r="4" spans="1:3" ht="17.5" x14ac:dyDescent="0.35">
      <c r="A4" s="6"/>
      <c r="B4" s="105" t="s">
        <v>186</v>
      </c>
      <c r="C4" s="6"/>
    </row>
    <row r="5" spans="1:3" ht="17.5" x14ac:dyDescent="0.35">
      <c r="A5" s="6"/>
      <c r="B5" s="105"/>
      <c r="C5" s="6"/>
    </row>
    <row r="6" spans="1:3" ht="17.5" x14ac:dyDescent="0.35">
      <c r="A6" s="6"/>
      <c r="B6" s="105"/>
      <c r="C6" s="6"/>
    </row>
    <row r="7" spans="1:3" ht="17.5" x14ac:dyDescent="0.35">
      <c r="A7" s="6"/>
      <c r="B7" s="105"/>
      <c r="C7" s="6"/>
    </row>
    <row r="8" spans="1:3" x14ac:dyDescent="0.35">
      <c r="A8" s="6"/>
      <c r="B8" s="6"/>
      <c r="C8" s="6"/>
    </row>
    <row r="9" spans="1:3" x14ac:dyDescent="0.35">
      <c r="A9" s="6"/>
      <c r="B9" s="6"/>
      <c r="C9" s="6"/>
    </row>
    <row r="10" spans="1:3" x14ac:dyDescent="0.35">
      <c r="A10" s="138" t="s">
        <v>137</v>
      </c>
      <c r="B10" s="6"/>
      <c r="C10" s="6"/>
    </row>
    <row r="11" spans="1:3" x14ac:dyDescent="0.35">
      <c r="A11" s="6"/>
      <c r="B11" s="6"/>
      <c r="C11" s="6"/>
    </row>
    <row r="12" spans="1:3" ht="15" x14ac:dyDescent="0.35">
      <c r="A12" s="175" t="s">
        <v>140</v>
      </c>
      <c r="B12" s="176"/>
      <c r="C12" s="6"/>
    </row>
    <row r="13" spans="1:3" ht="15.5" x14ac:dyDescent="0.35">
      <c r="A13" s="119" t="s">
        <v>138</v>
      </c>
      <c r="B13" s="9"/>
      <c r="C13" s="6"/>
    </row>
    <row r="14" spans="1:3" ht="15.5" x14ac:dyDescent="0.35">
      <c r="A14" s="120" t="s">
        <v>139</v>
      </c>
      <c r="B14" s="64">
        <f>B13*2.306726</f>
        <v>0</v>
      </c>
      <c r="C14" s="6"/>
    </row>
    <row r="15" spans="1:3" x14ac:dyDescent="0.35">
      <c r="A15" s="103"/>
      <c r="B15" s="103"/>
      <c r="C15" s="103"/>
    </row>
  </sheetData>
  <sheetProtection algorithmName="SHA-512" hashValue="jMZmNcH17kvBKY4kcR53C00F0FUDGAMR0OJdTxFSE/+FoGrSwAzEvlACRVM4k0AnbDL2KoAJ0zD3w8tNpTQszQ==" saltValue="wZLcX90YCaTKAorDzOKDtg==" spinCount="100000" sheet="1" objects="1" scenarios="1"/>
  <mergeCells count="1">
    <mergeCell ref="A12:B12"/>
  </mergeCells>
  <pageMargins left="0.7" right="0.7" top="0.75" bottom="0.75" header="0.3" footer="0.3"/>
  <pageSetup scale="80" fitToHeight="0" orientation="landscape" r:id="rId1"/>
  <headerFooter>
    <oddFooter>&amp;LJanuary 11, 2017&amp;CPage 2 (f) of 6&amp;RPressure Conversion Tab</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E18"/>
  <sheetViews>
    <sheetView showGridLines="0" zoomScaleNormal="100" workbookViewId="0">
      <selection activeCell="C14" sqref="C14:E14"/>
    </sheetView>
  </sheetViews>
  <sheetFormatPr defaultColWidth="9.1796875" defaultRowHeight="14.5" x14ac:dyDescent="0.35"/>
  <cols>
    <col min="1" max="1" width="34.81640625" style="103" customWidth="1"/>
    <col min="2" max="2" width="15.453125" style="103" bestFit="1" customWidth="1"/>
    <col min="3" max="3" width="77.453125" style="103" customWidth="1"/>
    <col min="4" max="4" width="9.54296875" style="103" customWidth="1"/>
    <col min="5" max="5" width="8" style="103" customWidth="1"/>
    <col min="6" max="16384" width="9.1796875" style="103"/>
  </cols>
  <sheetData>
    <row r="1" spans="1:5" ht="17.5" x14ac:dyDescent="0.35">
      <c r="A1" s="6"/>
      <c r="B1" s="177" t="s">
        <v>184</v>
      </c>
      <c r="C1" s="177"/>
      <c r="D1" s="6"/>
      <c r="E1" s="6"/>
    </row>
    <row r="2" spans="1:5" ht="17.5" x14ac:dyDescent="0.35">
      <c r="A2" s="6"/>
      <c r="B2" s="178" t="s">
        <v>192</v>
      </c>
      <c r="C2" s="178"/>
      <c r="D2" s="6"/>
      <c r="E2" s="6"/>
    </row>
    <row r="3" spans="1:5" ht="17.5" x14ac:dyDescent="0.35">
      <c r="A3" s="6"/>
      <c r="B3" s="178" t="s">
        <v>185</v>
      </c>
      <c r="C3" s="178"/>
      <c r="D3" s="6"/>
      <c r="E3" s="6"/>
    </row>
    <row r="4" spans="1:5" ht="17.5" x14ac:dyDescent="0.35">
      <c r="A4" s="6"/>
      <c r="B4" s="179" t="s">
        <v>186</v>
      </c>
      <c r="C4" s="179"/>
      <c r="D4" s="6"/>
      <c r="E4" s="6"/>
    </row>
    <row r="5" spans="1:5" ht="17.5" x14ac:dyDescent="0.35">
      <c r="A5" s="6"/>
      <c r="B5" s="140"/>
      <c r="C5" s="157"/>
      <c r="D5" s="6"/>
      <c r="E5" s="6"/>
    </row>
    <row r="6" spans="1:5" ht="17.5" x14ac:dyDescent="0.35">
      <c r="A6" s="6"/>
      <c r="B6" s="140"/>
      <c r="C6" s="157"/>
      <c r="D6" s="156"/>
      <c r="E6" s="6"/>
    </row>
    <row r="7" spans="1:5" ht="17.5" x14ac:dyDescent="0.35">
      <c r="A7" s="6"/>
      <c r="B7" s="140"/>
      <c r="C7" s="157"/>
      <c r="D7" s="6"/>
      <c r="E7" s="6"/>
    </row>
    <row r="8" spans="1:5" ht="17.5" x14ac:dyDescent="0.35">
      <c r="A8" s="6"/>
      <c r="B8" s="140"/>
      <c r="C8" s="6"/>
      <c r="D8" s="6"/>
      <c r="E8" s="6"/>
    </row>
    <row r="9" spans="1:5" ht="15.5" x14ac:dyDescent="0.35">
      <c r="A9" s="141" t="s">
        <v>1</v>
      </c>
      <c r="B9" s="183">
        <f>'Read Me'!B26:C26</f>
        <v>0</v>
      </c>
      <c r="C9" s="183"/>
      <c r="D9" s="183"/>
      <c r="E9" s="6"/>
    </row>
    <row r="10" spans="1:5" ht="15.5" x14ac:dyDescent="0.35">
      <c r="A10" s="141" t="s">
        <v>197</v>
      </c>
      <c r="B10" s="183">
        <f>'Read Me'!B27:C27</f>
        <v>0</v>
      </c>
      <c r="C10" s="183"/>
      <c r="D10" s="183"/>
      <c r="E10" s="142"/>
    </row>
    <row r="11" spans="1:5" ht="15.5" x14ac:dyDescent="0.35">
      <c r="A11" s="143"/>
      <c r="B11" s="144"/>
      <c r="C11" s="145"/>
      <c r="D11" s="146"/>
      <c r="E11" s="146"/>
    </row>
    <row r="12" spans="1:5" ht="15.5" x14ac:dyDescent="0.35">
      <c r="A12" s="143"/>
      <c r="B12" s="144"/>
      <c r="C12" s="145"/>
      <c r="D12" s="146"/>
      <c r="E12" s="146"/>
    </row>
    <row r="13" spans="1:5" ht="45.5" x14ac:dyDescent="0.35">
      <c r="A13" s="147" t="s">
        <v>37</v>
      </c>
      <c r="B13" s="148" t="s">
        <v>38</v>
      </c>
      <c r="C13" s="172" t="s">
        <v>39</v>
      </c>
      <c r="D13" s="173"/>
      <c r="E13" s="174"/>
    </row>
    <row r="14" spans="1:5" ht="30" x14ac:dyDescent="0.35">
      <c r="A14" s="149" t="s">
        <v>126</v>
      </c>
      <c r="B14" s="96">
        <f>'GHG Calculations - 1'!C27+'GHG Calculations - 2'!C27+'GHG Calculations - 3'!C27+'GHG Calculations - 4'!C27+'GHG Calculations - 5'!C27</f>
        <v>0</v>
      </c>
      <c r="C14" s="184" t="s">
        <v>40</v>
      </c>
      <c r="D14" s="181"/>
      <c r="E14" s="182"/>
    </row>
    <row r="15" spans="1:5" ht="30" x14ac:dyDescent="0.35">
      <c r="A15" s="149" t="s">
        <v>124</v>
      </c>
      <c r="B15" s="97">
        <f>B14*10</f>
        <v>0</v>
      </c>
      <c r="C15" s="184" t="s">
        <v>41</v>
      </c>
      <c r="D15" s="181"/>
      <c r="E15" s="182"/>
    </row>
    <row r="16" spans="1:5" ht="32.25" customHeight="1" x14ac:dyDescent="0.35">
      <c r="A16" s="149" t="s">
        <v>187</v>
      </c>
      <c r="B16" s="98" t="e">
        <f>B14/'Read Me'!B32:C32</f>
        <v>#DIV/0!</v>
      </c>
      <c r="C16" s="184" t="s">
        <v>188</v>
      </c>
      <c r="D16" s="181"/>
      <c r="E16" s="182"/>
    </row>
    <row r="17" spans="1:5" ht="15.5" x14ac:dyDescent="0.35">
      <c r="A17" s="149" t="s">
        <v>193</v>
      </c>
      <c r="B17" s="99">
        <f>'Read Me'!B33:C33</f>
        <v>0</v>
      </c>
      <c r="C17" s="180" t="s">
        <v>116</v>
      </c>
      <c r="D17" s="181"/>
      <c r="E17" s="182"/>
    </row>
    <row r="18" spans="1:5" ht="45" x14ac:dyDescent="0.35">
      <c r="A18" s="149" t="s">
        <v>194</v>
      </c>
      <c r="B18" s="100" t="e">
        <f>Summary!B15/Summary!B17</f>
        <v>#DIV/0!</v>
      </c>
      <c r="C18" s="180" t="s">
        <v>117</v>
      </c>
      <c r="D18" s="181"/>
      <c r="E18" s="182"/>
    </row>
  </sheetData>
  <sheetProtection algorithmName="SHA-512" hashValue="Y4iy7oHMv8r5FTRfW0C8IKu/cVo9kowxNULqzspIiZ9GGGRUoNIVe2YZwh3wlCbwavmN12tTSNaOmZbN7gUaBg==" saltValue="9RG1kvxihrYj5eoVd1FWUQ==" spinCount="100000" sheet="1" objects="1" scenarios="1"/>
  <mergeCells count="12">
    <mergeCell ref="B1:C1"/>
    <mergeCell ref="B2:C2"/>
    <mergeCell ref="B3:C3"/>
    <mergeCell ref="B4:C4"/>
    <mergeCell ref="C18:E18"/>
    <mergeCell ref="B9:D9"/>
    <mergeCell ref="B10:D10"/>
    <mergeCell ref="C13:E13"/>
    <mergeCell ref="C14:E14"/>
    <mergeCell ref="C17:E17"/>
    <mergeCell ref="C15:E15"/>
    <mergeCell ref="C16:E16"/>
  </mergeCells>
  <pageMargins left="0.7" right="0.7" top="0.75" bottom="0.75" header="0.3" footer="0.3"/>
  <pageSetup scale="84" orientation="landscape" r:id="rId1"/>
  <headerFooter>
    <oddFooter>&amp;LJanuary 11, 2017&amp;CPage &amp;[3 of &amp;[6&amp;RSummary Tab</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7"/>
  <sheetViews>
    <sheetView zoomScaleNormal="100" workbookViewId="0">
      <selection activeCell="C25" sqref="C25"/>
    </sheetView>
  </sheetViews>
  <sheetFormatPr defaultColWidth="9.1796875" defaultRowHeight="14.5" x14ac:dyDescent="0.35"/>
  <cols>
    <col min="1" max="1" width="22.1796875" style="2" bestFit="1" customWidth="1"/>
    <col min="2" max="2" width="62.1796875" style="2" bestFit="1" customWidth="1"/>
    <col min="3" max="3" width="65.453125" style="2" customWidth="1"/>
    <col min="4" max="16384" width="9.1796875" style="2"/>
  </cols>
  <sheetData>
    <row r="1" spans="1:5" ht="18" customHeight="1" x14ac:dyDescent="0.35">
      <c r="A1" s="1"/>
      <c r="B1" s="190" t="s">
        <v>184</v>
      </c>
      <c r="C1" s="190"/>
      <c r="D1" s="1"/>
      <c r="E1" s="1"/>
    </row>
    <row r="2" spans="1:5" ht="18" customHeight="1" x14ac:dyDescent="0.35">
      <c r="A2" s="1"/>
      <c r="B2" s="191" t="s">
        <v>192</v>
      </c>
      <c r="C2" s="191"/>
      <c r="D2" s="1"/>
      <c r="E2" s="1"/>
    </row>
    <row r="3" spans="1:5" ht="18" customHeight="1" x14ac:dyDescent="0.35">
      <c r="A3" s="1"/>
      <c r="B3" s="191" t="s">
        <v>185</v>
      </c>
      <c r="C3" s="191"/>
      <c r="D3" s="1"/>
      <c r="E3" s="1"/>
    </row>
    <row r="4" spans="1:5" ht="18" customHeight="1" x14ac:dyDescent="0.35">
      <c r="A4" s="1"/>
      <c r="B4" s="192" t="s">
        <v>186</v>
      </c>
      <c r="C4" s="192"/>
      <c r="D4" s="1"/>
      <c r="E4" s="1"/>
    </row>
    <row r="5" spans="1:5" ht="18" customHeight="1" x14ac:dyDescent="0.35">
      <c r="A5" s="1"/>
      <c r="B5" s="192"/>
      <c r="C5" s="192"/>
      <c r="D5" s="1"/>
      <c r="E5" s="1"/>
    </row>
    <row r="6" spans="1:5" ht="18" customHeight="1" x14ac:dyDescent="0.35">
      <c r="A6" s="1"/>
      <c r="B6" s="192"/>
      <c r="C6" s="192"/>
      <c r="D6" s="1"/>
      <c r="E6" s="1"/>
    </row>
    <row r="7" spans="1:5" ht="15.5" x14ac:dyDescent="0.35">
      <c r="A7" s="1"/>
      <c r="B7" s="1"/>
      <c r="C7" s="37"/>
      <c r="D7" s="37"/>
      <c r="E7" s="37"/>
    </row>
    <row r="8" spans="1:5" x14ac:dyDescent="0.35">
      <c r="A8" s="1"/>
      <c r="B8" s="1"/>
      <c r="C8" s="1"/>
      <c r="D8" s="1"/>
      <c r="E8" s="1"/>
    </row>
    <row r="11" spans="1:5" ht="15.5" x14ac:dyDescent="0.35">
      <c r="A11" s="7"/>
      <c r="B11" s="7"/>
      <c r="C11" s="7"/>
      <c r="D11" s="1"/>
      <c r="E11" s="1"/>
    </row>
    <row r="12" spans="1:5" ht="15.5" x14ac:dyDescent="0.35">
      <c r="A12" s="8" t="s">
        <v>42</v>
      </c>
      <c r="B12" s="8" t="s">
        <v>43</v>
      </c>
      <c r="C12" s="8" t="s">
        <v>44</v>
      </c>
      <c r="D12" s="1"/>
      <c r="E12" s="1"/>
    </row>
    <row r="13" spans="1:5" ht="15.5" x14ac:dyDescent="0.35">
      <c r="A13" s="33" t="s">
        <v>45</v>
      </c>
      <c r="B13" s="57" t="s">
        <v>118</v>
      </c>
      <c r="C13" s="58">
        <f>IF('Inputs - 1'!B22="User may override system pressure if known.",'Inputs - 1'!B23+'Inputs - 1'!B24+'Inputs - 1'!B25,'Inputs - 1'!B22)</f>
        <v>0</v>
      </c>
      <c r="D13" s="1"/>
      <c r="E13" s="1"/>
    </row>
    <row r="14" spans="1:5" ht="15.5" x14ac:dyDescent="0.35">
      <c r="A14" s="33" t="s">
        <v>46</v>
      </c>
      <c r="B14" s="57" t="s">
        <v>119</v>
      </c>
      <c r="C14" s="58">
        <f>IF('Inputs - 1'!C22="User may override system pressure if known.",'Inputs - 1'!C23+'Inputs - 1'!C24+'Inputs - 1'!C25,'Inputs - 1'!C22)</f>
        <v>0</v>
      </c>
      <c r="D14" s="1"/>
      <c r="E14" s="1"/>
    </row>
    <row r="15" spans="1:5" ht="15.5" x14ac:dyDescent="0.35">
      <c r="A15" s="33" t="s">
        <v>47</v>
      </c>
      <c r="B15" s="57" t="s">
        <v>120</v>
      </c>
      <c r="C15" s="58" t="e">
        <f>IF('Inputs - 1'!B15="Electricity", 0, 'Inputs - 1'!B14*'Inputs - 1'!B16)</f>
        <v>#N/A</v>
      </c>
      <c r="D15" s="1"/>
      <c r="E15" s="1"/>
    </row>
    <row r="16" spans="1:5" ht="15.5" x14ac:dyDescent="0.35">
      <c r="A16" s="33" t="s">
        <v>48</v>
      </c>
      <c r="B16" s="57" t="s">
        <v>121</v>
      </c>
      <c r="C16" s="58">
        <f>IF('Inputs - 1'!B15="Electricity", 'Inputs - 1'!B14*'Inputs - 1'!B16, 0)</f>
        <v>0</v>
      </c>
      <c r="D16" s="1"/>
      <c r="E16" s="1"/>
    </row>
    <row r="17" spans="1:5" ht="15.5" x14ac:dyDescent="0.35">
      <c r="A17" s="33" t="s">
        <v>150</v>
      </c>
      <c r="B17" s="57" t="s">
        <v>122</v>
      </c>
      <c r="C17" s="34">
        <f>'Inputs - 1'!B19*'Inputs - 1'!B20*0.746*Defaults!B15*'Inputs - 1'!B21</f>
        <v>0</v>
      </c>
      <c r="D17" s="1"/>
      <c r="E17" s="1"/>
    </row>
    <row r="18" spans="1:5" ht="15.5" x14ac:dyDescent="0.35">
      <c r="A18" s="33" t="s">
        <v>151</v>
      </c>
      <c r="B18" s="57" t="s">
        <v>123</v>
      </c>
      <c r="C18" s="34" t="e">
        <f>IF('Inputs - 1'!B15="Electricity",MAX(C17,C16), C15)</f>
        <v>#N/A</v>
      </c>
      <c r="D18" s="1"/>
      <c r="E18" s="1"/>
    </row>
    <row r="19" spans="1:5" ht="15.5" x14ac:dyDescent="0.35">
      <c r="A19" s="33" t="s">
        <v>49</v>
      </c>
      <c r="B19" s="57" t="s">
        <v>52</v>
      </c>
      <c r="C19" s="34" t="e">
        <f>(1-(('Inputs - 1'!C29)))*(C14/C13)*('Inputs - 1'!B21/'Inputs - 1'!C21)*C18</f>
        <v>#DIV/0!</v>
      </c>
      <c r="D19" s="38"/>
      <c r="E19" s="1"/>
    </row>
    <row r="20" spans="1:5" ht="15.5" x14ac:dyDescent="0.35">
      <c r="A20" s="33" t="s">
        <v>50</v>
      </c>
      <c r="B20" s="57" t="s">
        <v>133</v>
      </c>
      <c r="C20" s="34">
        <f>IF('Inputs - 1'!B15='Inputs - 1'!C33,0,C19*'Inputs - 1'!C36)</f>
        <v>0</v>
      </c>
      <c r="D20" s="1"/>
      <c r="E20" s="1"/>
    </row>
    <row r="21" spans="1:5" ht="15.5" x14ac:dyDescent="0.35">
      <c r="A21" s="33" t="s">
        <v>51</v>
      </c>
      <c r="B21" s="57" t="s">
        <v>53</v>
      </c>
      <c r="C21" s="34" t="e">
        <f>IF(C20=0, C19, C20)</f>
        <v>#DIV/0!</v>
      </c>
      <c r="D21" s="1"/>
      <c r="E21" s="1"/>
    </row>
    <row r="22" spans="1:5" ht="15.5" x14ac:dyDescent="0.35">
      <c r="A22" s="33" t="s">
        <v>183</v>
      </c>
      <c r="B22" s="57" t="s">
        <v>54</v>
      </c>
      <c r="C22" s="34">
        <f>((IF('Inputs - 1'!C26="VFD Booster Pump", Defaults!G14, IF('Inputs - 1'!C26="VFD Well Pump", Defaults!G15, 0)))*0.97)</f>
        <v>0</v>
      </c>
      <c r="D22" s="1"/>
      <c r="E22" s="1"/>
    </row>
    <row r="23" spans="1:5" ht="15.5" x14ac:dyDescent="0.35">
      <c r="A23" s="33" t="s">
        <v>155</v>
      </c>
      <c r="B23" s="57" t="s">
        <v>55</v>
      </c>
      <c r="C23" s="34">
        <f>IF(C14=C13, C22*'Inputs - 1'!C19*Defaults!B15, C22*'Inputs - 1'!C19*Defaults!B15*(1-('Inputs - 1'!C29))*((1-(C13-C14)/(C13))))</f>
        <v>0</v>
      </c>
      <c r="D23" s="1"/>
      <c r="E23" s="1"/>
    </row>
    <row r="24" spans="1:5" ht="15.5" x14ac:dyDescent="0.35">
      <c r="A24" s="33" t="s">
        <v>152</v>
      </c>
      <c r="B24" s="57" t="s">
        <v>57</v>
      </c>
      <c r="C24" s="34">
        <f>'Inputs - 1'!C32*8766*0.18* Defaults!B15</f>
        <v>0</v>
      </c>
      <c r="D24" s="1"/>
      <c r="E24" s="1"/>
    </row>
    <row r="25" spans="1:5" ht="15.5" x14ac:dyDescent="0.35">
      <c r="A25" s="33" t="s">
        <v>56</v>
      </c>
      <c r="B25" s="57" t="s">
        <v>125</v>
      </c>
      <c r="C25" s="34" t="e">
        <f>C18-C21+C23+C24</f>
        <v>#N/A</v>
      </c>
      <c r="D25" s="1"/>
      <c r="E25" s="1"/>
    </row>
    <row r="26" spans="1:5" x14ac:dyDescent="0.35">
      <c r="A26" s="187"/>
      <c r="B26" s="188"/>
      <c r="C26" s="189"/>
      <c r="D26" s="1"/>
      <c r="E26" s="1"/>
    </row>
    <row r="27" spans="1:5" ht="15" x14ac:dyDescent="0.35">
      <c r="A27" s="185" t="s">
        <v>58</v>
      </c>
      <c r="B27" s="186"/>
      <c r="C27" s="39">
        <f>IFERROR(C25,0)</f>
        <v>0</v>
      </c>
      <c r="D27" s="1"/>
      <c r="E27" s="1"/>
    </row>
  </sheetData>
  <sheetProtection algorithmName="SHA-512" hashValue="Lt1c1HPWvEhyJF/0+/3AOOj2wLq/eFfLU0t7zHUrNcDKNjaFYmw6fuNILRCsDAbKHVLsjc5w5m8J57jAHnSmFw==" saltValue="2Cgin3gCDmX5nh/JNWu1LQ==" spinCount="100000" sheet="1" objects="1" scenarios="1"/>
  <mergeCells count="8">
    <mergeCell ref="A27:B27"/>
    <mergeCell ref="A26:C26"/>
    <mergeCell ref="B1:C1"/>
    <mergeCell ref="B2:C2"/>
    <mergeCell ref="B3:C3"/>
    <mergeCell ref="B4:C4"/>
    <mergeCell ref="B5:C5"/>
    <mergeCell ref="B6:C6"/>
  </mergeCells>
  <pageMargins left="0.7" right="0.7" top="0.75" bottom="0.75" header="0.3" footer="0.3"/>
  <pageSetup scale="73" orientation="landscape" r:id="rId1"/>
  <headerFooter>
    <oddFooter>&amp;LJanuary 11, 2017&amp;CPage &amp;[4 (a) of &amp;[6&amp;RGHG Calculations Tab</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1" ma:contentTypeDescription="Create a new document." ma:contentTypeScope="" ma:versionID="f65e86561741b44954c6abe9cd4c8d7f">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8c4b419bfe1568ac596b4a347bbfd42d"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AFA45E-14B0-44DE-9084-E9DF880C2530}">
  <ds:schemaRefs>
    <ds:schemaRef ds:uri="http://purl.org/dc/terms/"/>
    <ds:schemaRef ds:uri="http://www.w3.org/XML/1998/namespace"/>
    <ds:schemaRef ds:uri="http://schemas.microsoft.com/office/2006/documentManagement/types"/>
    <ds:schemaRef ds:uri="http://purl.org/dc/dcmitype/"/>
    <ds:schemaRef ds:uri="176009e1-a8cf-49ed-8104-9e386ec91d07"/>
    <ds:schemaRef ds:uri="http://purl.org/dc/elements/1.1/"/>
    <ds:schemaRef ds:uri="http://schemas.openxmlformats.org/package/2006/metadata/core-properties"/>
    <ds:schemaRef ds:uri="http://schemas.microsoft.com/office/infopath/2007/PartnerControls"/>
    <ds:schemaRef ds:uri="66bcd1ee-b9c2-479a-aa98-f6e9d4fac80c"/>
    <ds:schemaRef ds:uri="http://schemas.microsoft.com/office/2006/metadata/properties"/>
  </ds:schemaRefs>
</ds:datastoreItem>
</file>

<file path=customXml/itemProps2.xml><?xml version="1.0" encoding="utf-8"?>
<ds:datastoreItem xmlns:ds="http://schemas.openxmlformats.org/officeDocument/2006/customXml" ds:itemID="{D6D07F36-74F9-45E9-878E-A3CCCA813F70}">
  <ds:schemaRefs>
    <ds:schemaRef ds:uri="http://schemas.microsoft.com/sharepoint/v3/contenttype/forms"/>
  </ds:schemaRefs>
</ds:datastoreItem>
</file>

<file path=customXml/itemProps3.xml><?xml version="1.0" encoding="utf-8"?>
<ds:datastoreItem xmlns:ds="http://schemas.openxmlformats.org/officeDocument/2006/customXml" ds:itemID="{43B804A1-635A-46C8-A821-1085C2C54C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cd1ee-b9c2-479a-aa98-f6e9d4fac80c"/>
    <ds:schemaRef ds:uri="176009e1-a8cf-49ed-8104-9e386ec91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Read Me</vt:lpstr>
      <vt:lpstr>Inputs - 1</vt:lpstr>
      <vt:lpstr>Inputs - 2</vt:lpstr>
      <vt:lpstr>Inputs - 3</vt:lpstr>
      <vt:lpstr>Inputs - 4</vt:lpstr>
      <vt:lpstr>Inputs - 5</vt:lpstr>
      <vt:lpstr>Pressure Conversion</vt:lpstr>
      <vt:lpstr>Summary</vt:lpstr>
      <vt:lpstr>GHG Calculations - 1</vt:lpstr>
      <vt:lpstr>GHG Calculations - 2</vt:lpstr>
      <vt:lpstr>GHG Calculations - 3</vt:lpstr>
      <vt:lpstr>GHG Calculations - 4</vt:lpstr>
      <vt:lpstr>GHG Calculations - 5</vt:lpstr>
      <vt:lpstr>Defaults</vt:lpstr>
      <vt:lpstr>Definitions</vt:lpstr>
      <vt:lpstr>Defaults!Print_Area</vt:lpstr>
      <vt:lpstr>Definitions!Print_Area</vt:lpstr>
      <vt:lpstr>'GHG Calculations - 1'!Print_Area</vt:lpstr>
      <vt:lpstr>'GHG Calculations - 2'!Print_Area</vt:lpstr>
      <vt:lpstr>'GHG Calculations - 3'!Print_Area</vt:lpstr>
      <vt:lpstr>'GHG Calculations - 4'!Print_Area</vt:lpstr>
      <vt:lpstr>'GHG Calculations - 5'!Print_Area</vt:lpstr>
      <vt:lpstr>'Inputs - 1'!Print_Area</vt:lpstr>
      <vt:lpstr>'Inputs - 2'!Print_Area</vt:lpstr>
      <vt:lpstr>'Inputs - 3'!Print_Area</vt:lpstr>
      <vt:lpstr>'Inputs - 4'!Print_Area</vt:lpstr>
      <vt:lpstr>'Inputs - 5'!Print_Area</vt:lpstr>
      <vt:lpstr>'Read Me'!Print_Area</vt:lpstr>
      <vt:lpstr>Summary!Print_Area</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Bailey Smith and Jimmy Steele</dc:creator>
  <cp:lastModifiedBy>Weeks, Scott@CDFA</cp:lastModifiedBy>
  <cp:lastPrinted>2018-10-25T19:13:28Z</cp:lastPrinted>
  <dcterms:created xsi:type="dcterms:W3CDTF">2015-12-17T19:45:48Z</dcterms:created>
  <dcterms:modified xsi:type="dcterms:W3CDTF">2021-10-08T21:28:10Z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ies>
</file>